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06" yWindow="65236" windowWidth="15480" windowHeight="7920" tabRatio="815" activeTab="0"/>
  </bookViews>
  <sheets>
    <sheet name="COVER" sheetId="1" r:id="rId1"/>
    <sheet name="Contents" sheetId="2" r:id="rId2"/>
    <sheet name="Assumptions" sheetId="3" r:id="rId3"/>
    <sheet name="DETAILED SUMMARY" sheetId="4" r:id="rId4"/>
    <sheet name="Professions" sheetId="5" r:id="rId5"/>
    <sheet name="Fees" sheetId="6" state="hidden" r:id="rId6"/>
    <sheet name="Graduate" sheetId="7" state="hidden" r:id="rId7"/>
    <sheet name="OVERHEAD TOTAL " sheetId="8" r:id="rId8"/>
    <sheet name="BALANCE SHEET " sheetId="9" r:id="rId9"/>
    <sheet name="Computer Additions" sheetId="10" r:id="rId10"/>
    <sheet name="F&amp;F Additions" sheetId="11" r:id="rId11"/>
    <sheet name="Cashflow" sheetId="12" r:id="rId12"/>
    <sheet name="Fees " sheetId="13" r:id="rId13"/>
    <sheet name="Reg No's" sheetId="14" r:id="rId14"/>
    <sheet name="ART" sheetId="15" state="hidden" r:id="rId15"/>
    <sheet name="BS" sheetId="16" state="hidden" r:id="rId16"/>
    <sheet name="CH" sheetId="17" state="hidden" r:id="rId17"/>
    <sheet name="CS" sheetId="18" state="hidden" r:id="rId18"/>
    <sheet name="DT" sheetId="19" state="hidden" r:id="rId19"/>
    <sheet name="OR" sheetId="20" state="hidden" r:id="rId20"/>
    <sheet name="OT" sheetId="21" state="hidden" r:id="rId21"/>
    <sheet name="PA" sheetId="22" state="hidden" r:id="rId22"/>
    <sheet name="PH" sheetId="23" state="hidden" r:id="rId23"/>
    <sheet name="P&amp;O" sheetId="24" state="hidden" r:id="rId24"/>
    <sheet name="RA" sheetId="25" state="hidden" r:id="rId25"/>
    <sheet name="SL" sheetId="26" state="hidden" r:id="rId26"/>
    <sheet name="ODP" sheetId="27" state="hidden" r:id="rId27"/>
    <sheet name="President" sheetId="28" r:id="rId28"/>
    <sheet name="Council" sheetId="29" r:id="rId29"/>
    <sheet name="Chief Exec" sheetId="30" r:id="rId30"/>
    <sheet name="Secretariat" sheetId="31" r:id="rId31"/>
    <sheet name="App &amp; Mon" sheetId="32" r:id="rId32"/>
    <sheet name="Registration" sheetId="33" r:id="rId33"/>
    <sheet name="Ops Off" sheetId="34" r:id="rId34"/>
    <sheet name="IT" sheetId="35" r:id="rId35"/>
    <sheet name="Finance" sheetId="36" r:id="rId36"/>
    <sheet name="Dep" sheetId="37" r:id="rId37"/>
    <sheet name="Fac Man" sheetId="38" r:id="rId38"/>
    <sheet name="22-26 Stannary St" sheetId="39" r:id="rId39"/>
    <sheet name="Fitness" sheetId="40" r:id="rId40"/>
    <sheet name="HR" sheetId="41" r:id="rId41"/>
    <sheet name="Partners" sheetId="42" r:id="rId42"/>
    <sheet name="Communications" sheetId="43" r:id="rId43"/>
    <sheet name="Policy" sheetId="44" r:id="rId44"/>
    <sheet name="Major" sheetId="45" r:id="rId45"/>
  </sheets>
  <definedNames>
    <definedName name="_xlnm.Print_Area" localSheetId="38">'22-26 Stannary St'!$A$1:$G$33</definedName>
    <definedName name="_xlnm.Print_Area" localSheetId="31">'App &amp; Mon'!$A$1:$G$49</definedName>
    <definedName name="_xlnm.Print_Area" localSheetId="2">'Assumptions'!$A$1:$L$31</definedName>
    <definedName name="_xlnm.Print_Area" localSheetId="8">'BALANCE SHEET '!$A$1:$F$60</definedName>
    <definedName name="_xlnm.Print_Area" localSheetId="11">'Cashflow'!$A$1:$N$54</definedName>
    <definedName name="_xlnm.Print_Area" localSheetId="29">'Chief Exec'!$A$1:$G$35</definedName>
    <definedName name="_xlnm.Print_Area" localSheetId="42">'Communications'!$A$1:$G$48</definedName>
    <definedName name="_xlnm.Print_Area" localSheetId="9">'Computer Additions'!$A$1:$C$29</definedName>
    <definedName name="_xlnm.Print_Area" localSheetId="1">'Contents'!$A$1:$D$35</definedName>
    <definedName name="_xlnm.Print_Area" localSheetId="28">'Council'!$A$1:$K$45</definedName>
    <definedName name="_xlnm.Print_Area" localSheetId="36">'Dep'!$A$1:$G$22</definedName>
    <definedName name="_xlnm.Print_Area" localSheetId="3">'DETAILED SUMMARY'!$A$1:$E$64</definedName>
    <definedName name="_xlnm.Print_Area" localSheetId="10">'F&amp;F Additions'!$A$1:$D$24</definedName>
    <definedName name="_xlnm.Print_Area" localSheetId="37">'Fac Man'!$A$1:$G$61</definedName>
    <definedName name="_xlnm.Print_Area" localSheetId="5">'Fees'!$A$1:$M$37</definedName>
    <definedName name="_xlnm.Print_Area" localSheetId="12">'Fees '!$A$1:$F$36</definedName>
    <definedName name="_xlnm.Print_Area" localSheetId="35">'Finance'!$A$1:$G$48</definedName>
    <definedName name="_xlnm.Print_Area" localSheetId="39">'Fitness'!$A$1:$G$61</definedName>
    <definedName name="_xlnm.Print_Area" localSheetId="40">'HR'!$A$1:$G$47</definedName>
    <definedName name="_xlnm.Print_Area" localSheetId="34">'IT'!$A$1:$G$51</definedName>
    <definedName name="_xlnm.Print_Area" localSheetId="44">'Major'!$A$1:$W$37</definedName>
    <definedName name="_xlnm.Print_Area" localSheetId="33">'Ops Off'!$A$1:$G$41</definedName>
    <definedName name="_xlnm.Print_Area" localSheetId="7">'OVERHEAD TOTAL '!$A$1:$E$161</definedName>
    <definedName name="_xlnm.Print_Area" localSheetId="41">'Partners'!$A$1:$G$41</definedName>
    <definedName name="_xlnm.Print_Area" localSheetId="27">'President'!$A$1:$G$22</definedName>
    <definedName name="_xlnm.Print_Area" localSheetId="4">'Professions'!$A$1:$K$21</definedName>
    <definedName name="_xlnm.Print_Area" localSheetId="13">'Reg No''s'!$A$1:$P$39</definedName>
    <definedName name="_xlnm.Print_Area" localSheetId="32">'Registration'!$A$1:$G$45</definedName>
    <definedName name="_xlnm.Print_Area" localSheetId="30">'Secretariat'!$A$1:$G$36</definedName>
    <definedName name="_xlnm.Print_Titles" localSheetId="38">'22-26 Stannary St'!$1:$11</definedName>
    <definedName name="_xlnm.Print_Titles" localSheetId="31">'App &amp; Mon'!$1:$11</definedName>
    <definedName name="_xlnm.Print_Titles" localSheetId="29">'Chief Exec'!$1:$11</definedName>
    <definedName name="_xlnm.Print_Titles" localSheetId="42">'Communications'!$1:$11</definedName>
    <definedName name="_xlnm.Print_Titles" localSheetId="9">'Computer Additions'!$1:$5</definedName>
    <definedName name="_xlnm.Print_Titles" localSheetId="28">'Council'!$1:$11</definedName>
    <definedName name="_xlnm.Print_Titles" localSheetId="36">'Dep'!$1:$11</definedName>
    <definedName name="_xlnm.Print_Titles" localSheetId="3">'DETAILED SUMMARY'!$1:$8</definedName>
    <definedName name="_xlnm.Print_Titles" localSheetId="10">'F&amp;F Additions'!$1:$5</definedName>
    <definedName name="_xlnm.Print_Titles" localSheetId="37">'Fac Man'!$1:$11</definedName>
    <definedName name="_xlnm.Print_Titles" localSheetId="35">'Finance'!$1:$11</definedName>
    <definedName name="_xlnm.Print_Titles" localSheetId="39">'Fitness'!$1:$11</definedName>
    <definedName name="_xlnm.Print_Titles" localSheetId="40">'HR'!$1:$11</definedName>
    <definedName name="_xlnm.Print_Titles" localSheetId="34">'IT'!$1:$11</definedName>
    <definedName name="_xlnm.Print_Titles" localSheetId="44">'Major'!$1:$11</definedName>
    <definedName name="_xlnm.Print_Titles" localSheetId="33">'Ops Off'!$1:$11</definedName>
    <definedName name="_xlnm.Print_Titles" localSheetId="7">'OVERHEAD TOTAL '!$1:$12</definedName>
    <definedName name="_xlnm.Print_Titles" localSheetId="41">'Partners'!$1:$11</definedName>
    <definedName name="_xlnm.Print_Titles" localSheetId="43">'Policy'!$1:$11</definedName>
    <definedName name="_xlnm.Print_Titles" localSheetId="32">'Registration'!$1:$11</definedName>
    <definedName name="_xlnm.Print_Titles" localSheetId="30">'Secretariat'!$1:$11</definedName>
  </definedNames>
  <calcPr fullCalcOnLoad="1" iterate="1" iterateCount="100" iterateDelta="0.001"/>
</workbook>
</file>

<file path=xl/comments13.xml><?xml version="1.0" encoding="utf-8"?>
<comments xmlns="http://schemas.openxmlformats.org/spreadsheetml/2006/main">
  <authors>
    <author>Mulengc</author>
  </authors>
  <commentList>
    <comment ref="D35" authorId="0">
      <text>
        <r>
          <rPr>
            <b/>
            <sz val="8"/>
            <rFont val="Tahoma"/>
            <family val="0"/>
          </rPr>
          <t>Mulengc:</t>
        </r>
        <r>
          <rPr>
            <sz val="8"/>
            <rFont val="Tahoma"/>
            <family val="0"/>
          </rPr>
          <t xml:space="preserve">
see FTP 06-7 budget sheets</t>
        </r>
      </text>
    </comment>
  </commentList>
</comments>
</file>

<file path=xl/comments6.xml><?xml version="1.0" encoding="utf-8"?>
<comments xmlns="http://schemas.openxmlformats.org/spreadsheetml/2006/main">
  <authors>
    <author>Mulengc</author>
    <author>Charlotte Miler</author>
  </authors>
  <commentList>
    <comment ref="G37" authorId="0">
      <text>
        <r>
          <rPr>
            <b/>
            <sz val="8"/>
            <rFont val="Tahoma"/>
            <family val="0"/>
          </rPr>
          <t>Mulengc:</t>
        </r>
        <r>
          <rPr>
            <sz val="8"/>
            <rFont val="Tahoma"/>
            <family val="0"/>
          </rPr>
          <t xml:space="preserve">
see FTP 06-7 budget sheets</t>
        </r>
      </text>
    </comment>
    <comment ref="J6" authorId="1">
      <text>
        <r>
          <rPr>
            <b/>
            <sz val="8"/>
            <rFont val="Tahoma"/>
            <family val="0"/>
          </rPr>
          <t>Charlotte Miler:</t>
        </r>
        <r>
          <rPr>
            <sz val="8"/>
            <rFont val="Tahoma"/>
            <family val="0"/>
          </rPr>
          <t xml:space="preserve">
Fees from PKF costing model
</t>
        </r>
      </text>
    </comment>
    <comment ref="I6" authorId="1">
      <text>
        <r>
          <rPr>
            <b/>
            <sz val="8"/>
            <rFont val="Tahoma"/>
            <family val="0"/>
          </rPr>
          <t>Charlotte Miler: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<sst xmlns="http://schemas.openxmlformats.org/spreadsheetml/2006/main" count="1939" uniqueCount="637">
  <si>
    <t>GAE</t>
  </si>
  <si>
    <t>CEX</t>
  </si>
  <si>
    <t>COU</t>
  </si>
  <si>
    <t>PRE</t>
  </si>
  <si>
    <t>REG</t>
  </si>
  <si>
    <t>ITD</t>
  </si>
  <si>
    <t>FIN</t>
  </si>
  <si>
    <t>ADM</t>
  </si>
  <si>
    <t>LEG</t>
  </si>
  <si>
    <t>HUM</t>
  </si>
  <si>
    <t>COM</t>
  </si>
  <si>
    <t>Registration Income</t>
  </si>
  <si>
    <t>Operating Expenses</t>
  </si>
  <si>
    <t xml:space="preserve">Budget </t>
  </si>
  <si>
    <t>Travel &amp; Subsistence</t>
  </si>
  <si>
    <t>Council &amp; Committee</t>
  </si>
  <si>
    <t>Specific Departmental Costs</t>
  </si>
  <si>
    <t>Basic pay</t>
  </si>
  <si>
    <t>National insurance cost</t>
  </si>
  <si>
    <t>Pension cost</t>
  </si>
  <si>
    <t>Overtime pay</t>
  </si>
  <si>
    <t>Temporary Staff</t>
  </si>
  <si>
    <t>Other Professional Fees</t>
  </si>
  <si>
    <t>Computer Services</t>
  </si>
  <si>
    <t>Repairs &amp; maintenance</t>
  </si>
  <si>
    <t>Property disposals</t>
  </si>
  <si>
    <t>Property Services</t>
  </si>
  <si>
    <t>Office equipment disposals</t>
  </si>
  <si>
    <t>Office equipment depreciation</t>
  </si>
  <si>
    <t>Office Services</t>
  </si>
  <si>
    <t>Legal expenses - employment law</t>
  </si>
  <si>
    <t>Personal Performance Consultancy</t>
  </si>
  <si>
    <t>Miscellaneous Expenses</t>
  </si>
  <si>
    <t>Surplus/(Deficit) for the period</t>
  </si>
  <si>
    <t>HEALTH PROFESSIONS COUNCIL</t>
  </si>
  <si>
    <t>COST CENTRE</t>
  </si>
  <si>
    <t>CODE</t>
  </si>
  <si>
    <t>BUDGET MANAGER</t>
  </si>
  <si>
    <t>Budget</t>
  </si>
  <si>
    <t>Variance</t>
  </si>
  <si>
    <t>£</t>
  </si>
  <si>
    <t>%</t>
  </si>
  <si>
    <t>Payroll</t>
  </si>
  <si>
    <t>Overtime</t>
  </si>
  <si>
    <t>Medical insurance</t>
  </si>
  <si>
    <t>Staff recruitment</t>
  </si>
  <si>
    <t>Temporary staff</t>
  </si>
  <si>
    <t>Travelling and subsistence</t>
  </si>
  <si>
    <t>Code</t>
  </si>
  <si>
    <t>Fares</t>
  </si>
  <si>
    <t>Subsistence</t>
  </si>
  <si>
    <t>Entertaining</t>
  </si>
  <si>
    <t>Business rates</t>
  </si>
  <si>
    <t>Water</t>
  </si>
  <si>
    <t>Electricity</t>
  </si>
  <si>
    <t>Gas</t>
  </si>
  <si>
    <t>Cleaning contractors</t>
  </si>
  <si>
    <t>Cleaning materials</t>
  </si>
  <si>
    <t>Waste disposal</t>
  </si>
  <si>
    <t>Repairs and maintenance</t>
  </si>
  <si>
    <t>Maintenance contracts</t>
  </si>
  <si>
    <t>Security</t>
  </si>
  <si>
    <t>Property depreciation</t>
  </si>
  <si>
    <t>Office services</t>
  </si>
  <si>
    <t>Postage</t>
  </si>
  <si>
    <t>Telephone</t>
  </si>
  <si>
    <t>Mobile telephone</t>
  </si>
  <si>
    <t>Photocopying</t>
  </si>
  <si>
    <t>Couriers</t>
  </si>
  <si>
    <t>Office equipment rental</t>
  </si>
  <si>
    <t>Other office services</t>
  </si>
  <si>
    <t>Systems support</t>
  </si>
  <si>
    <t>Disaster contingency plan</t>
  </si>
  <si>
    <t>Other computer services costs</t>
  </si>
  <si>
    <t>Fees</t>
  </si>
  <si>
    <t>Conference expenses</t>
  </si>
  <si>
    <t>Council and committee expenses</t>
  </si>
  <si>
    <t>Specific departmental expenses</t>
  </si>
  <si>
    <t>Bank charges</t>
  </si>
  <si>
    <t>Books and publications</t>
  </si>
  <si>
    <t>General insurance</t>
  </si>
  <si>
    <t>Legal expenses</t>
  </si>
  <si>
    <t>Training</t>
  </si>
  <si>
    <t>Subscriptions to professional bodies</t>
  </si>
  <si>
    <t>Other professional fees</t>
  </si>
  <si>
    <t>Health and safety</t>
  </si>
  <si>
    <t>Pension administration</t>
  </si>
  <si>
    <t>Archive storage</t>
  </si>
  <si>
    <t>DEPARTMENTAL TOTAL</t>
  </si>
  <si>
    <t>PRESIDENT</t>
  </si>
  <si>
    <t>CHIEF EXECUTIVE</t>
  </si>
  <si>
    <t>FINANCE</t>
  </si>
  <si>
    <t>HUMAN RESOURCES</t>
  </si>
  <si>
    <t>COMMUNICATIONS</t>
  </si>
  <si>
    <t>OVERHEAD TOTAL</t>
  </si>
  <si>
    <t>Conferences</t>
  </si>
  <si>
    <t>Income</t>
  </si>
  <si>
    <t>Registration fees</t>
  </si>
  <si>
    <t>Registration fees (part year)</t>
  </si>
  <si>
    <t>Confirmation letter fees</t>
  </si>
  <si>
    <t>ARTS THERAPISTS</t>
  </si>
  <si>
    <t>CHIROPODISTS</t>
  </si>
  <si>
    <t>CLINICAL SCIENTISTS</t>
  </si>
  <si>
    <t>DIETITIANS</t>
  </si>
  <si>
    <t>ORTHOPTISTS</t>
  </si>
  <si>
    <t>OCCUPATIONAL THERAPISTS</t>
  </si>
  <si>
    <t>PARAMEDICS</t>
  </si>
  <si>
    <t>PHYSIOTHERAPISTS</t>
  </si>
  <si>
    <t>PROSTHETISTS &amp; ORTHOTISTS</t>
  </si>
  <si>
    <t>RADIOGRAPHERS</t>
  </si>
  <si>
    <t>SPEECH &amp; LANGUAGE THERAPISTS</t>
  </si>
  <si>
    <t>Property services</t>
  </si>
  <si>
    <t>Computer services</t>
  </si>
  <si>
    <t>TOTAL INCOME</t>
  </si>
  <si>
    <t>DETAILED SUMMARY</t>
  </si>
  <si>
    <t>Arts Therapists</t>
  </si>
  <si>
    <t>Clinical Scientists</t>
  </si>
  <si>
    <t>Dietitians</t>
  </si>
  <si>
    <t>Occupational Therapists</t>
  </si>
  <si>
    <t>Paramedics</t>
  </si>
  <si>
    <t>Physiotherapists</t>
  </si>
  <si>
    <t>Prosthetists &amp; Orthotists</t>
  </si>
  <si>
    <t>Radiographers</t>
  </si>
  <si>
    <t>Speech and Language Therapists</t>
  </si>
  <si>
    <t>INCOME</t>
  </si>
  <si>
    <t>EXPENDITURE</t>
  </si>
  <si>
    <t>Departments</t>
  </si>
  <si>
    <t>Council</t>
  </si>
  <si>
    <t>President</t>
  </si>
  <si>
    <t>Chief Executive</t>
  </si>
  <si>
    <t>IT Department</t>
  </si>
  <si>
    <t xml:space="preserve">Finance   </t>
  </si>
  <si>
    <t>Communications</t>
  </si>
  <si>
    <t>Professions</t>
  </si>
  <si>
    <t>PROFESSION</t>
  </si>
  <si>
    <t>Chiropodists</t>
  </si>
  <si>
    <t>Orthoptists</t>
  </si>
  <si>
    <t>Catering</t>
  </si>
  <si>
    <t>Car expenses and car park</t>
  </si>
  <si>
    <t>Legal insurance</t>
  </si>
  <si>
    <t>Printing and stationery</t>
  </si>
  <si>
    <t>Actual</t>
  </si>
  <si>
    <t>Marc Seale</t>
  </si>
  <si>
    <t>FIXED ASSETS</t>
  </si>
  <si>
    <t>Land &amp; buildings, at cost or valuation</t>
  </si>
  <si>
    <t>Depreciation</t>
  </si>
  <si>
    <t>Net book value</t>
  </si>
  <si>
    <t>Computer Equipment, at cost</t>
  </si>
  <si>
    <t>Office furniture and equipment, at cost</t>
  </si>
  <si>
    <t>CURRENT ASSETS</t>
  </si>
  <si>
    <t>Bank balances and cash</t>
  </si>
  <si>
    <t>CURRENT LIABILITIES</t>
  </si>
  <si>
    <t>Amounts falling due within one year</t>
  </si>
  <si>
    <t>Registration fees in advance</t>
  </si>
  <si>
    <t>Retention fees in advance</t>
  </si>
  <si>
    <t>Creditors and accrued expenses</t>
  </si>
  <si>
    <t>Represented by:</t>
  </si>
  <si>
    <t>1001    /101/</t>
  </si>
  <si>
    <t>1002    /101/</t>
  </si>
  <si>
    <t>1003    /101/</t>
  </si>
  <si>
    <t>1004    /101/</t>
  </si>
  <si>
    <t>1005    /101/</t>
  </si>
  <si>
    <t>1006    /101/</t>
  </si>
  <si>
    <t>1007    /101/</t>
  </si>
  <si>
    <t>1008    /101/</t>
  </si>
  <si>
    <t>Taxation advice</t>
  </si>
  <si>
    <t>WORKING CAPITAL</t>
  </si>
  <si>
    <t>Staff Travel &amp; Subsistence</t>
  </si>
  <si>
    <t>Partners</t>
  </si>
  <si>
    <t>Partners Recruitment &amp; Interviews</t>
  </si>
  <si>
    <t>Partners Training</t>
  </si>
  <si>
    <t>Reward Data</t>
  </si>
  <si>
    <t>Annual Reports (Design, Distribute)</t>
  </si>
  <si>
    <t>Brochures (Design, Prod, Distribute)</t>
  </si>
  <si>
    <t>Listening Events</t>
  </si>
  <si>
    <t>Market Research</t>
  </si>
  <si>
    <t>Translations</t>
  </si>
  <si>
    <t>Staff travelling and subsistence</t>
  </si>
  <si>
    <t>Professional Liaison Groups</t>
  </si>
  <si>
    <t>Disc Trans Writer - All Professions</t>
  </si>
  <si>
    <t>Greg Ross-Sampson</t>
  </si>
  <si>
    <t>Building Refurbishment</t>
  </si>
  <si>
    <t>Standards of Proficiency (Prod, Dist)</t>
  </si>
  <si>
    <t>Partners Recruitment</t>
  </si>
  <si>
    <t>Panels (Allowance &amp; Travel )</t>
  </si>
  <si>
    <t>Legal Advice (Bircham Dyson Bell)</t>
  </si>
  <si>
    <t>Department of Health Capital Grant Released</t>
  </si>
  <si>
    <t>Other Payroll Cost</t>
  </si>
  <si>
    <t>Other payroll cost</t>
  </si>
  <si>
    <t>Tangible fixed assets</t>
  </si>
  <si>
    <t>Total tangible fixed assets</t>
  </si>
  <si>
    <t>Investments</t>
  </si>
  <si>
    <t>DEFERRED INCOME</t>
  </si>
  <si>
    <t>NET ASSETS</t>
  </si>
  <si>
    <t>IT Hardware Disposals</t>
  </si>
  <si>
    <t>Readmission fees</t>
  </si>
  <si>
    <t>International scrutiny fees</t>
  </si>
  <si>
    <t>Grandparenting scrutiny fees</t>
  </si>
  <si>
    <t>Biomedical Scientists</t>
  </si>
  <si>
    <t>Secretariat</t>
  </si>
  <si>
    <t>SECRETARIAT</t>
  </si>
  <si>
    <t>Council Meetings</t>
  </si>
  <si>
    <t>Other Professional fees</t>
  </si>
  <si>
    <t>Assessors fees (All Professions)</t>
  </si>
  <si>
    <t>Test of Competence (All Professions)</t>
  </si>
  <si>
    <t>Fitness to Practise</t>
  </si>
  <si>
    <t>FITNESS TO PRACTISE</t>
  </si>
  <si>
    <t>Marketing &amp; Promotions</t>
  </si>
  <si>
    <t>General Events (Internal &amp; External)</t>
  </si>
  <si>
    <t>Operating Department Practitioners</t>
  </si>
  <si>
    <t>Approvals (Previously Visits)</t>
  </si>
  <si>
    <t>Renewal fees (DD)</t>
  </si>
  <si>
    <t>Registration Appeals (Fee &amp; Travel)</t>
  </si>
  <si>
    <t>Registration</t>
  </si>
  <si>
    <t>Renewal fees (Non DD)</t>
  </si>
  <si>
    <t>Kelly Johnson</t>
  </si>
  <si>
    <t>Legal -Transcript Writer</t>
  </si>
  <si>
    <t>Hardware &lt; £1000</t>
  </si>
  <si>
    <t>Office equipment &lt; £1000</t>
  </si>
  <si>
    <t>Legal advice</t>
  </si>
  <si>
    <t>SURPLUS / (DEFICIT)</t>
  </si>
  <si>
    <t>POL</t>
  </si>
  <si>
    <t>Printing &amp; Stationary</t>
  </si>
  <si>
    <t>Fees (Health Committee)</t>
  </si>
  <si>
    <t>Room Hire</t>
  </si>
  <si>
    <t>Staff training</t>
  </si>
  <si>
    <t>Legal Advice</t>
  </si>
  <si>
    <t>Mobile phone</t>
  </si>
  <si>
    <t>Debtors</t>
  </si>
  <si>
    <t>Prepayments</t>
  </si>
  <si>
    <t>CONSOLIDATED DETAILED SUMMARY</t>
  </si>
  <si>
    <t>Consolidated Income</t>
  </si>
  <si>
    <t>Total</t>
  </si>
  <si>
    <t>Simon Leicester</t>
  </si>
  <si>
    <t>Tax Cost (NI ER and PAYE)</t>
  </si>
  <si>
    <t>BIOMEDICAL SCIENTISTS</t>
  </si>
  <si>
    <t>OPERATING DEPARTMENT PRACTITIONERS</t>
  </si>
  <si>
    <t>Taxation</t>
  </si>
  <si>
    <t>General Insurance</t>
  </si>
  <si>
    <t>Fees (Communications Committee)</t>
  </si>
  <si>
    <t>Professional Liaison Group (fees &amp; exps)</t>
  </si>
  <si>
    <t>Abigail Creighton</t>
  </si>
  <si>
    <t>Annual Monitoring</t>
  </si>
  <si>
    <t>Major/Minor Change</t>
  </si>
  <si>
    <t>HR - PARTNERS</t>
  </si>
  <si>
    <t>POLICY &amp; STANDARDS</t>
  </si>
  <si>
    <t>Policy &amp; Standards</t>
  </si>
  <si>
    <t>FACILITIES MANAGEMENT</t>
  </si>
  <si>
    <t>OPERATIONS OFFICE</t>
  </si>
  <si>
    <t>DEP</t>
  </si>
  <si>
    <t>Operations Office</t>
  </si>
  <si>
    <t>Check</t>
  </si>
  <si>
    <t>Investment - Unrealised Gains / (Losses)</t>
  </si>
  <si>
    <t>22-26 Stannary Street</t>
  </si>
  <si>
    <t xml:space="preserve">   </t>
  </si>
  <si>
    <t>Revaluation reserve</t>
  </si>
  <si>
    <t>Accumulated Fund</t>
  </si>
  <si>
    <t>Stephen Hall</t>
  </si>
  <si>
    <t>Printing and stationery - CPD</t>
  </si>
  <si>
    <t>Mobile Phone</t>
  </si>
  <si>
    <t>ISO 9001 Certification</t>
  </si>
  <si>
    <t>Anna van der Gaag</t>
  </si>
  <si>
    <t>Internal Audit</t>
  </si>
  <si>
    <t>STY</t>
  </si>
  <si>
    <t>Jacqueline Ladds</t>
  </si>
  <si>
    <t>IT Enhancements</t>
  </si>
  <si>
    <t>Consultation &amp; Listening</t>
  </si>
  <si>
    <t>Specific Department expenses</t>
  </si>
  <si>
    <t>Other Project costs</t>
  </si>
  <si>
    <t>Project Costs</t>
  </si>
  <si>
    <t>Printing &amp; Stationery</t>
  </si>
  <si>
    <t>2007-08</t>
  </si>
  <si>
    <t>2006-07</t>
  </si>
  <si>
    <t>Assumptions</t>
  </si>
  <si>
    <t>Year 2</t>
  </si>
  <si>
    <t>Year 3</t>
  </si>
  <si>
    <t>Year 4</t>
  </si>
  <si>
    <t>Year 5</t>
  </si>
  <si>
    <t>Forecast</t>
  </si>
  <si>
    <t>2008-09</t>
  </si>
  <si>
    <t>Art Therapists</t>
  </si>
  <si>
    <t>Readmission</t>
  </si>
  <si>
    <t>Renewal</t>
  </si>
  <si>
    <t>P&amp;Os</t>
  </si>
  <si>
    <t>ODP</t>
  </si>
  <si>
    <t xml:space="preserve">Media Relations </t>
  </si>
  <si>
    <t>Public Affairs and Stakeholder</t>
  </si>
  <si>
    <t>Research</t>
  </si>
  <si>
    <t>Year 1</t>
  </si>
  <si>
    <t>Computer Additions</t>
  </si>
  <si>
    <t xml:space="preserve">Project </t>
  </si>
  <si>
    <t>Details</t>
  </si>
  <si>
    <t>Budget £</t>
  </si>
  <si>
    <t>Other Computer Additions</t>
  </si>
  <si>
    <t>TOTAL</t>
  </si>
  <si>
    <t>TOTAL CAPEX BUDGET</t>
  </si>
  <si>
    <t>Fixture and Fittings Additions</t>
  </si>
  <si>
    <t>Project</t>
  </si>
  <si>
    <t>Archive Storage</t>
  </si>
  <si>
    <t xml:space="preserve"> REGISTRATION</t>
  </si>
  <si>
    <t>Richard Houghton</t>
  </si>
  <si>
    <t>Software Licences</t>
  </si>
  <si>
    <t>Software support &amp; maintenance</t>
  </si>
  <si>
    <t>IT systems external support</t>
  </si>
  <si>
    <t>Managed Web/Internet services</t>
  </si>
  <si>
    <t>IT Consummerables</t>
  </si>
  <si>
    <t>HPC Computer Training</t>
  </si>
  <si>
    <t>Offsite tape data archive</t>
  </si>
  <si>
    <t>Campaigns</t>
  </si>
  <si>
    <t xml:space="preserve">Web </t>
  </si>
  <si>
    <t>Conferences &amp; Exhibitions</t>
  </si>
  <si>
    <t>Internal Communications</t>
  </si>
  <si>
    <t>Registrant Numbers</t>
  </si>
  <si>
    <t xml:space="preserve"> 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</si>
  <si>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</si>
  <si>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</si>
  <si>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</si>
  <si>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</si>
  <si>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</si>
  <si>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</si>
  <si>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</si>
  <si>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</si>
  <si>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</si>
  <si>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BMS</t>
  </si>
  <si>
    <t>Deregistered</t>
  </si>
  <si>
    <t>Fees &amp; Allowances</t>
  </si>
  <si>
    <t>Central Forecast - Option 1</t>
  </si>
  <si>
    <t>Full Year Registration (Graduates)</t>
  </si>
  <si>
    <t>Full Year Registration (Non Graduates)</t>
  </si>
  <si>
    <t>International Scrutiny Fees</t>
  </si>
  <si>
    <t>Grandparenting Scrutiny Fees</t>
  </si>
  <si>
    <t>Allowances</t>
  </si>
  <si>
    <t>Day Rates</t>
  </si>
  <si>
    <t>(VAT Inclusive)</t>
  </si>
  <si>
    <t>Panel Members</t>
  </si>
  <si>
    <t>Approvals (Visits)</t>
  </si>
  <si>
    <t>Legal Assessor</t>
  </si>
  <si>
    <t>Medical Assessor</t>
  </si>
  <si>
    <t>Per Case</t>
  </si>
  <si>
    <t xml:space="preserve">Assessors - International </t>
  </si>
  <si>
    <t>Assessors - Grandparenting</t>
  </si>
  <si>
    <t>Assessors - CPD</t>
  </si>
  <si>
    <t>Annual Monitoring &amp; Major / Minor Change</t>
  </si>
  <si>
    <t>* Annual Monitoring &amp; Major / Minor Change were not budgeted, but the processes have started in 2005/06</t>
  </si>
  <si>
    <t>* 2005-06 Annual Monitoring from 1st Sept @ £65 per case &amp; Major/Minor from 1st December @ £65 per case</t>
  </si>
  <si>
    <t>Council / Committee/</t>
  </si>
  <si>
    <t>% Increase</t>
  </si>
  <si>
    <t>Partner</t>
  </si>
  <si>
    <t>Accomodation</t>
  </si>
  <si>
    <t>Other</t>
  </si>
  <si>
    <t>Legal - Per Case</t>
  </si>
  <si>
    <t>Taking into account</t>
  </si>
  <si>
    <t>Current Professions:</t>
  </si>
  <si>
    <t>% 6mth free period</t>
  </si>
  <si>
    <t>Total Income</t>
  </si>
  <si>
    <t>Prosthetists and Orthotists</t>
  </si>
  <si>
    <t>New Professions:</t>
  </si>
  <si>
    <t>Applied Psychologists</t>
  </si>
  <si>
    <t>Healthcare Scientists A</t>
  </si>
  <si>
    <t>Healthcare Scientists B</t>
  </si>
  <si>
    <t>Counsellors and</t>
  </si>
  <si>
    <t>Psychotherapists</t>
  </si>
  <si>
    <t>Total New UK Registrants</t>
  </si>
  <si>
    <t>Year to December 2006</t>
  </si>
  <si>
    <t>Management accounts year to 31 December 2006</t>
  </si>
  <si>
    <t>Actual to December 2006</t>
  </si>
  <si>
    <t>Key Assumptions</t>
  </si>
  <si>
    <t>1.</t>
  </si>
  <si>
    <t>2.</t>
  </si>
  <si>
    <t>4.</t>
  </si>
  <si>
    <t>3.</t>
  </si>
  <si>
    <t>5.</t>
  </si>
  <si>
    <t>6.</t>
  </si>
  <si>
    <t>7.</t>
  </si>
  <si>
    <t>Renewal - Graduate</t>
  </si>
  <si>
    <t>New registrants</t>
  </si>
  <si>
    <t>Graduates</t>
  </si>
  <si>
    <t>International</t>
  </si>
  <si>
    <t>Bal c/fwd</t>
  </si>
  <si>
    <t>Orthopists</t>
  </si>
  <si>
    <t>SLTs</t>
  </si>
  <si>
    <t>Health Professions Council</t>
  </si>
  <si>
    <t>X</t>
  </si>
  <si>
    <t>A</t>
  </si>
  <si>
    <t>C</t>
  </si>
  <si>
    <t>A+B+C = D</t>
  </si>
  <si>
    <t>E</t>
  </si>
  <si>
    <t>X+D+E</t>
  </si>
  <si>
    <t>Bal b/fwd (Base)</t>
  </si>
  <si>
    <t>Total New registrants</t>
  </si>
  <si>
    <t>Dereg</t>
  </si>
  <si>
    <t>Yr on Yr Chg</t>
  </si>
  <si>
    <t xml:space="preserve">% </t>
  </si>
  <si>
    <t>% chg</t>
  </si>
  <si>
    <t>Comment</t>
  </si>
  <si>
    <t>Contents</t>
  </si>
  <si>
    <t>Page</t>
  </si>
  <si>
    <t>1.0</t>
  </si>
  <si>
    <t>2.0</t>
  </si>
  <si>
    <t>Detailed Summary</t>
  </si>
  <si>
    <t>Cost Centre Expenditure</t>
  </si>
  <si>
    <t xml:space="preserve"> - President</t>
  </si>
  <si>
    <t xml:space="preserve"> - Chief Executive</t>
  </si>
  <si>
    <t xml:space="preserve"> - Secretariat</t>
  </si>
  <si>
    <t xml:space="preserve"> - Registration</t>
  </si>
  <si>
    <t xml:space="preserve"> - Finance</t>
  </si>
  <si>
    <t xml:space="preserve"> - 22-26 Stannery Street</t>
  </si>
  <si>
    <t xml:space="preserve"> - Fitness to Practice</t>
  </si>
  <si>
    <t xml:space="preserve"> - Human Resources</t>
  </si>
  <si>
    <t xml:space="preserve"> - Partners</t>
  </si>
  <si>
    <t xml:space="preserve"> - Communications</t>
  </si>
  <si>
    <t xml:space="preserve"> - Policy and Standards</t>
  </si>
  <si>
    <t>- Profession Summary</t>
  </si>
  <si>
    <t>- Overhead Total</t>
  </si>
  <si>
    <t>Key Assumptions &amp; Notes</t>
  </si>
  <si>
    <t>TOTAL  ASSETS</t>
  </si>
  <si>
    <t>Fees (Audit Committee)</t>
  </si>
  <si>
    <t>Internet/3G</t>
  </si>
  <si>
    <t>International Assessments</t>
  </si>
  <si>
    <t>CPD Assessors</t>
  </si>
  <si>
    <t>Phase 2 Stannary Street</t>
  </si>
  <si>
    <t>Video conferencing</t>
  </si>
  <si>
    <t>Witness</t>
  </si>
  <si>
    <t>Internet 3G</t>
  </si>
  <si>
    <t>MP</t>
  </si>
  <si>
    <t>Major Projects</t>
  </si>
  <si>
    <t>Partners recruitment &amp; training</t>
  </si>
  <si>
    <t>Web Site Design</t>
  </si>
  <si>
    <t>Conference Attendance</t>
  </si>
  <si>
    <t>Server replacements/upgrades</t>
  </si>
  <si>
    <t>Video Conferencing</t>
  </si>
  <si>
    <t>National Insurance cost</t>
  </si>
  <si>
    <t xml:space="preserve"> - Major Projects</t>
  </si>
  <si>
    <t>.</t>
  </si>
  <si>
    <t xml:space="preserve">Fee Rates </t>
  </si>
  <si>
    <t>Guy Gaskins</t>
  </si>
  <si>
    <t>- Income &amp; expenditure</t>
  </si>
  <si>
    <t>EMT Training</t>
  </si>
  <si>
    <t>Other Legal Costs</t>
  </si>
  <si>
    <t>Payroll Contingency</t>
  </si>
  <si>
    <t>Organisational Training</t>
  </si>
  <si>
    <t>Other legal costs</t>
  </si>
  <si>
    <t>Annual general meeting</t>
  </si>
  <si>
    <t>EMT training</t>
  </si>
  <si>
    <t>Contingency</t>
  </si>
  <si>
    <r>
      <t>SURPLUS / (DEFICIT)</t>
    </r>
    <r>
      <rPr>
        <b/>
        <sz val="8"/>
        <rFont val="Arial"/>
        <family val="2"/>
      </rPr>
      <t xml:space="preserve"> - Excl. Unrealised Gains/(Losses)</t>
    </r>
  </si>
  <si>
    <r>
      <t>Investment Income</t>
    </r>
    <r>
      <rPr>
        <b/>
        <sz val="8"/>
        <rFont val="Arial"/>
        <family val="2"/>
      </rPr>
      <t xml:space="preserve"> - Excl. Unrealised Gains/(Losses)</t>
    </r>
  </si>
  <si>
    <t xml:space="preserve"> - Facilites Management</t>
  </si>
  <si>
    <t>Dieticians</t>
  </si>
  <si>
    <t>Facilities Management</t>
  </si>
  <si>
    <t>Brochures</t>
  </si>
  <si>
    <t>Counselling</t>
  </si>
  <si>
    <t>Accommodation</t>
  </si>
  <si>
    <t>Subscriptions to Professional Bodies</t>
  </si>
  <si>
    <t>Miscellaous Accounts</t>
  </si>
  <si>
    <t>Payroll contingency</t>
  </si>
  <si>
    <t>Project Leads</t>
  </si>
  <si>
    <t>Online</t>
  </si>
  <si>
    <t>HAD</t>
  </si>
  <si>
    <t>Budget Total</t>
  </si>
  <si>
    <t>RH</t>
  </si>
  <si>
    <t>SL</t>
  </si>
  <si>
    <t>KJ</t>
  </si>
  <si>
    <t>Psychologists</t>
  </si>
  <si>
    <t>Appitude Tests</t>
  </si>
  <si>
    <t>Small project costs</t>
  </si>
  <si>
    <t>New/replacement laptops</t>
  </si>
  <si>
    <t>General Hardware support and maintenance</t>
  </si>
  <si>
    <t>Software Purchase</t>
  </si>
  <si>
    <t>General software support and maintenance</t>
  </si>
  <si>
    <t>Specialist external support</t>
  </si>
  <si>
    <t>Secure hardware disposals</t>
  </si>
  <si>
    <t>Project lead</t>
  </si>
  <si>
    <t>General Hardward support and Miantenance</t>
  </si>
  <si>
    <t>UK Gradauate security fee</t>
  </si>
  <si>
    <t>6-8</t>
  </si>
  <si>
    <t>Reforecast</t>
  </si>
  <si>
    <t xml:space="preserve">Temporary Staff </t>
  </si>
  <si>
    <t>Small Project costs</t>
  </si>
  <si>
    <t>Project costs</t>
  </si>
  <si>
    <t xml:space="preserve">  </t>
  </si>
  <si>
    <t xml:space="preserve"> % </t>
  </si>
  <si>
    <t xml:space="preserve">PROJECTED CONSOLIDATED BALANCE SHEET </t>
  </si>
  <si>
    <t>31 March 2009</t>
  </si>
  <si>
    <t>6.0</t>
  </si>
  <si>
    <t>11.</t>
  </si>
  <si>
    <t>85% of attendants claim for  council and committee meetings</t>
  </si>
  <si>
    <t>12.</t>
  </si>
  <si>
    <t>10.</t>
  </si>
  <si>
    <t>13.</t>
  </si>
  <si>
    <t xml:space="preserve">  2 BSI assessment visits will take place during the year</t>
  </si>
  <si>
    <t>Employee Assistance Programme</t>
  </si>
  <si>
    <t>For the year ended 31 March 2010</t>
  </si>
  <si>
    <t>BUDGET FOR YEAR TO 31 MARCH 2010</t>
  </si>
  <si>
    <t>2009-10</t>
  </si>
  <si>
    <t>Fees (Council)</t>
  </si>
  <si>
    <t>Travel and subs (Council)</t>
  </si>
  <si>
    <t>Fees (Investigating Committee)</t>
  </si>
  <si>
    <t>Travel and subs (Investigating Com)</t>
  </si>
  <si>
    <t>Fees (Education &amp; Training Committee)</t>
  </si>
  <si>
    <t>Travel and subs (Education)</t>
  </si>
  <si>
    <t>Travel and subs (Health)</t>
  </si>
  <si>
    <t>Fees (Conduct &amp; competence)</t>
  </si>
  <si>
    <t>Travel and subs(C &amp; C)</t>
  </si>
  <si>
    <t>Fees (Education Panels)</t>
  </si>
  <si>
    <t>Travel and subs (Education Panels)</t>
  </si>
  <si>
    <t>Fees (Finance &amp; Resources Committee)</t>
  </si>
  <si>
    <t>Travel and subs (F&amp;R Committee)</t>
  </si>
  <si>
    <t>Travel and subs (Audit Comm)</t>
  </si>
  <si>
    <t>Travel and subs (Communications Comm)</t>
  </si>
  <si>
    <t>Fees - Chairmans meeting</t>
  </si>
  <si>
    <t>Travel and subs - Chairmans meeting</t>
  </si>
  <si>
    <t xml:space="preserve"> Training</t>
  </si>
  <si>
    <t>Elections &amp; Appointments</t>
  </si>
  <si>
    <t>Annual General meeting</t>
  </si>
  <si>
    <t>COUNCIL AND COMMITTEES</t>
  </si>
  <si>
    <t>Travel &amp; Substience</t>
  </si>
  <si>
    <t>Council &amp; committee fees</t>
  </si>
  <si>
    <t>Printing &amp; stationery</t>
  </si>
  <si>
    <t>Formula error on reforecast</t>
  </si>
  <si>
    <t>Netregulate software support and maintenance</t>
  </si>
  <si>
    <t>Managed Web &amp; Internet services</t>
  </si>
  <si>
    <t>Offsite data archive</t>
  </si>
  <si>
    <t>Panels (Fee &amp; Travel)</t>
  </si>
  <si>
    <t>Travel &amp; subistence</t>
  </si>
  <si>
    <t>Council &amp; Committee Fees</t>
  </si>
  <si>
    <t>Council, Committees &amp; PLG</t>
  </si>
  <si>
    <t>q</t>
  </si>
  <si>
    <t>Courier charges</t>
  </si>
  <si>
    <t>Occupational health</t>
  </si>
  <si>
    <t xml:space="preserve">Subscriptions </t>
  </si>
  <si>
    <t>Michael Guthrie</t>
  </si>
  <si>
    <t>Travel &amp; subsistence</t>
  </si>
  <si>
    <t xml:space="preserve">Council &amp; Committee </t>
  </si>
  <si>
    <t xml:space="preserve">reforecast </t>
  </si>
  <si>
    <t>Adj</t>
  </si>
  <si>
    <t>Photocopier</t>
  </si>
  <si>
    <t>Structured cabling for Phase 2 works</t>
  </si>
  <si>
    <t>Replace Park House Boiler</t>
  </si>
  <si>
    <t xml:space="preserve">Replace Park House water tank </t>
  </si>
  <si>
    <t>Additional machine for FTP</t>
  </si>
  <si>
    <t>Access control on additional doors</t>
  </si>
  <si>
    <t xml:space="preserve">8 doors @ £1175 each </t>
  </si>
  <si>
    <t>Induction loop for Reception and portable unit for hearings, etc.</t>
  </si>
  <si>
    <t>Laptop refresh</t>
  </si>
  <si>
    <t>Hearing Aid Council</t>
  </si>
  <si>
    <t>Independent Safeguarding Authority applicants</t>
  </si>
  <si>
    <t>Online Applications and renewals phase 1</t>
  </si>
  <si>
    <t>FTP case management system phase 1</t>
  </si>
  <si>
    <t>Renewals cycle review</t>
  </si>
  <si>
    <t>Fee Rise 2011</t>
  </si>
  <si>
    <t>ISA</t>
  </si>
  <si>
    <t>FTP Case mangement</t>
  </si>
  <si>
    <t>Rernewal cycle review</t>
  </si>
  <si>
    <t>GRS</t>
  </si>
  <si>
    <t>IT external hosting transfer to new provider</t>
  </si>
  <si>
    <t>GG</t>
  </si>
  <si>
    <t>Panel Memebers</t>
  </si>
  <si>
    <t>Grandparenting Assessors</t>
  </si>
  <si>
    <t xml:space="preserve">Annual Monitoring &amp; Major / Minor Change </t>
  </si>
  <si>
    <t>Conference Expenses</t>
  </si>
  <si>
    <t>Small Projects</t>
  </si>
  <si>
    <t>External Audit</t>
  </si>
  <si>
    <t>Witness cost</t>
  </si>
  <si>
    <t>International Assessors</t>
  </si>
  <si>
    <t>Grandparenting</t>
  </si>
  <si>
    <t>Year to 31 March 2010</t>
  </si>
  <si>
    <t>Practioner Psychologists</t>
  </si>
  <si>
    <t>Education</t>
  </si>
  <si>
    <t>CAPITAL EXPENDITURE BUDGET 2009-10</t>
  </si>
  <si>
    <t>8 professions will commence a new 2 year cycle</t>
  </si>
  <si>
    <t>There will be 70 approval visit and 6 annual monitoring assessment days</t>
  </si>
  <si>
    <t>The register will open for Practitioner Psychologists on 1 July 2009</t>
  </si>
  <si>
    <t>FTP case management system</t>
  </si>
  <si>
    <t>Office Equipment deprecation</t>
  </si>
  <si>
    <t>Property Deprecation</t>
  </si>
  <si>
    <t>Computer equipment deprecation</t>
  </si>
  <si>
    <t>Computer software deprecation</t>
  </si>
  <si>
    <t>Louise Hart</t>
  </si>
  <si>
    <t>Student Information Packs</t>
  </si>
  <si>
    <t>Human Resources Partners</t>
  </si>
  <si>
    <t xml:space="preserve">Human Resources </t>
  </si>
  <si>
    <t>All fees and allowances increase from 1 April 2009.</t>
  </si>
  <si>
    <t>capacity of 131 desks</t>
  </si>
  <si>
    <t>There will be 3 Professional Liaison Group meetings held during the year</t>
  </si>
  <si>
    <t>DEPRECIATION</t>
  </si>
  <si>
    <t>- Fee Rates</t>
  </si>
  <si>
    <t>- Registration Numbers</t>
  </si>
  <si>
    <t>9</t>
  </si>
  <si>
    <t>10</t>
  </si>
  <si>
    <t>- Capital Expenditure - Computer Equipment &amp; Projects</t>
  </si>
  <si>
    <t>- Capital Expenditure - Property &amp; Office Equipment</t>
  </si>
  <si>
    <t>188 cases for 08/09. There will be approx 637 days of hearings (including reviews, appeals and ICP'S)</t>
  </si>
  <si>
    <t xml:space="preserve">The total number of FTP cases we will instruct will be on approximately  447 cases in 2009/10, including </t>
  </si>
  <si>
    <t xml:space="preserve">Phase 2 of the 22-26 Stannary Street project is complete in October 2009, this giving us a total of </t>
  </si>
  <si>
    <t>Grandparenting assessments</t>
  </si>
  <si>
    <t>as at 31 March 2010</t>
  </si>
  <si>
    <t>31 March 2010</t>
  </si>
  <si>
    <t>`</t>
  </si>
  <si>
    <t>CASHFLOW FOR YEAR TO 31 MARCH 2010</t>
  </si>
  <si>
    <t>CASH INFLOWS</t>
  </si>
  <si>
    <t>TOTAL CASHFLOW FROM INCOME</t>
  </si>
  <si>
    <t>CASH OUTFLOWS</t>
  </si>
  <si>
    <t>Expenses</t>
  </si>
  <si>
    <t>Total Operating Cash Outflows</t>
  </si>
  <si>
    <t>Capital Expenditure</t>
  </si>
  <si>
    <t>Projects</t>
  </si>
  <si>
    <t>Fixtures &amp; Fittings</t>
  </si>
  <si>
    <t>Computers</t>
  </si>
  <si>
    <t>22/26 Stannery Street refurbishment</t>
  </si>
  <si>
    <t>Total Capital Cash Outflows</t>
  </si>
  <si>
    <t>TOTAL CASHFLOW FROM EXPENDITURE</t>
  </si>
  <si>
    <t>TOTAL CASHFLOW</t>
  </si>
  <si>
    <t>CASH BALANCE B/FWD*</t>
  </si>
  <si>
    <t>CASH BALANCE C/FWD</t>
  </si>
  <si>
    <t>Rensburg Sheppards Investments</t>
  </si>
  <si>
    <t>Reserves Policy target</t>
  </si>
  <si>
    <t>Policy amount (breached)</t>
  </si>
  <si>
    <t>*  Excludes Rensburg Shepperds Investment Funds of £1.3M</t>
  </si>
  <si>
    <t>- Balance Sheet</t>
  </si>
  <si>
    <t>11</t>
  </si>
  <si>
    <t>- Cashflow</t>
  </si>
  <si>
    <t>12</t>
  </si>
  <si>
    <t>Version 6</t>
  </si>
  <si>
    <t>Registrations</t>
  </si>
  <si>
    <t>The average annual salary increase is 2.13% (as agreed by the renumeration committee)</t>
  </si>
  <si>
    <t>Psychologists*</t>
  </si>
  <si>
    <t>* Register transferred from 1 July 2009</t>
  </si>
  <si>
    <t>PRS Enhancements</t>
  </si>
  <si>
    <t>The number of employees will increase to 132 as at 31.03.10, an increase of 7 from 01.04.09</t>
  </si>
  <si>
    <t>INFORMATION TECHNOLOGY</t>
  </si>
  <si>
    <t>HPC will undertake in 8 major projects including Online renewals,  Practitioner Psychologists and</t>
  </si>
  <si>
    <t xml:space="preserve"> - Council and committees</t>
  </si>
  <si>
    <t xml:space="preserve"> - Education</t>
  </si>
  <si>
    <t xml:space="preserve"> - Information Technology</t>
  </si>
  <si>
    <t xml:space="preserve"> - Operations </t>
  </si>
  <si>
    <t xml:space="preserve"> - Depreciation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</si>
</sst>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-\);[Red]\(#,##0.00\)"/>
    <numFmt numFmtId="173" formatCode="#,##0_);[Red]\(#,##0\)"/>
    <numFmt numFmtId="174" formatCode="#,##0.00_);[Red]\(#,##0.00\)"/>
    <numFmt numFmtId="175" formatCode="0.0"/>
    <numFmt numFmtId="176" formatCode="[$-809]dd\ mmmm\ yyyy"/>
    <numFmt numFmtId="177" formatCode="&quot;£&quot;#,##0"/>
    <numFmt numFmtId="178" formatCode="d\-mmm\-yy"/>
    <numFmt numFmtId="179" formatCode="&quot;£&quot;#,##0_);[Red]&quot;£&quot;\(#,##0\)"/>
    <numFmt numFmtId="180" formatCode="&quot;£&quot;#,##0.00_);[Red]&quot;£&quot;\(#,##0.00\)"/>
    <numFmt numFmtId="181" formatCode="#,##0\-\);[Red]\(#,##0\)"/>
    <numFmt numFmtId="182" formatCode="0.00_);[Red]\(0.00\)"/>
    <numFmt numFmtId="183" formatCode="0_);[Red]\(0\)"/>
    <numFmt numFmtId="184" formatCode="#,##0_);[Red]\-#,##0"/>
    <numFmt numFmtId="185" formatCode="d\-mmm"/>
    <numFmt numFmtId="186" formatCode="#,##0.00;[Red]\(#,##0.00\)"/>
    <numFmt numFmtId="187" formatCode="#,"/>
    <numFmt numFmtId="188" formatCode="#,##0.0000"/>
    <numFmt numFmtId="189" formatCode="#,##0.0"/>
    <numFmt numFmtId="190" formatCode="0.000"/>
    <numFmt numFmtId="191" formatCode="0.0%"/>
    <numFmt numFmtId="192" formatCode="0.000%"/>
    <numFmt numFmtId="193" formatCode="dd/mm/yyyy;@"/>
    <numFmt numFmtId="194" formatCode="_-* #,##0.0_-;\-* #,##0.0_-;_-* &quot;-&quot;??_-;_-@_-"/>
    <numFmt numFmtId="195" formatCode="_-* #,##0_-;\-* #,##0_-;_-* &quot;-&quot;??_-;_-@_-"/>
    <numFmt numFmtId="196" formatCode="#,##0.0_);[Red]\(#,##0.0\)"/>
    <numFmt numFmtId="197" formatCode="#,##0.000"/>
    <numFmt numFmtId="198" formatCode="0.0000"/>
    <numFmt numFmtId="199" formatCode="#,##0_);[Red]\(#,##0.00\)"/>
    <numFmt numFmtId="200" formatCode="0.00000"/>
    <numFmt numFmtId="201" formatCode="#,##0.00;\(#,##0.00\)"/>
    <numFmt numFmtId="202" formatCode="#,##0.0;\(#,##0.0\)"/>
    <numFmt numFmtId="203" formatCode="#,##0;\(#,##0\)"/>
    <numFmt numFmtId="204" formatCode="#,##0_);[Red]\(#,##0.0\)"/>
    <numFmt numFmtId="205" formatCode="#,##0_);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00_-;\-* #,##0.000_-;_-* &quot;-&quot;??_-;_-@_-"/>
    <numFmt numFmtId="211" formatCode="_-* #,##0.0000_-;\-* #,##0.0000_-;_-* &quot;-&quot;??_-;_-@_-"/>
    <numFmt numFmtId="212" formatCode="&quot;£&quot;#,##0;\(#,##0\)"/>
    <numFmt numFmtId="213" formatCode="#,##0;[Red]\(#,##0\)"/>
    <numFmt numFmtId="214" formatCode="#,##0.000_);[Red]\(#,##0.000\)"/>
    <numFmt numFmtId="215" formatCode="_-&quot;£&quot;* #,##0.0_-;\-&quot;£&quot;* #,##0.0_-;_-&quot;£&quot;* &quot;-&quot;??_-;_-@_-"/>
    <numFmt numFmtId="216" formatCode="_-&quot;£&quot;* #,##0_-;\-&quot;£&quot;* #,##0_-;_-&quot;£&quot;* &quot;-&quot;??_-;_-@_-"/>
    <numFmt numFmtId="217" formatCode="0.00000000"/>
    <numFmt numFmtId="218" formatCode="0.000000000"/>
    <numFmt numFmtId="219" formatCode="0.0000000"/>
    <numFmt numFmtId="220" formatCode="0.000000"/>
    <numFmt numFmtId="221" formatCode="#,##0.0000000"/>
  </numFmts>
  <fonts count="2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5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173" fontId="4" fillId="0" borderId="0" xfId="0" applyNumberFormat="1" applyFont="1" applyAlignment="1">
      <alignment/>
    </xf>
    <xf numFmtId="173" fontId="5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right"/>
    </xf>
    <xf numFmtId="0" fontId="7" fillId="2" borderId="3" xfId="0" applyNumberFormat="1" applyFont="1" applyFill="1" applyBorder="1" applyAlignment="1">
      <alignment horizontal="right"/>
    </xf>
    <xf numFmtId="173" fontId="7" fillId="0" borderId="4" xfId="0" applyNumberFormat="1" applyFont="1" applyBorder="1" applyAlignment="1">
      <alignment/>
    </xf>
    <xf numFmtId="173" fontId="7" fillId="0" borderId="5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7" fillId="0" borderId="7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3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/>
    </xf>
    <xf numFmtId="0" fontId="7" fillId="0" borderId="9" xfId="0" applyFont="1" applyBorder="1" applyAlignment="1">
      <alignment/>
    </xf>
    <xf numFmtId="1" fontId="7" fillId="0" borderId="9" xfId="0" applyNumberFormat="1" applyFont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90" fontId="7" fillId="0" borderId="0" xfId="0" applyNumberFormat="1" applyFont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left"/>
    </xf>
    <xf numFmtId="9" fontId="7" fillId="0" borderId="9" xfId="22" applyFont="1" applyBorder="1" applyAlignment="1">
      <alignment horizontal="center"/>
    </xf>
    <xf numFmtId="9" fontId="0" fillId="0" borderId="0" xfId="22" applyAlignment="1">
      <alignment/>
    </xf>
    <xf numFmtId="3" fontId="7" fillId="0" borderId="9" xfId="0" applyNumberFormat="1" applyFont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7" fillId="0" borderId="5" xfId="0" applyFont="1" applyBorder="1" applyAlignment="1">
      <alignment/>
    </xf>
    <xf numFmtId="1" fontId="7" fillId="0" borderId="5" xfId="0" applyNumberFormat="1" applyFont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10" fillId="0" borderId="9" xfId="0" applyFont="1" applyBorder="1" applyAlignment="1">
      <alignment/>
    </xf>
    <xf numFmtId="0" fontId="9" fillId="0" borderId="0" xfId="0" applyFont="1" applyAlignment="1">
      <alignment horizontal="right"/>
    </xf>
    <xf numFmtId="3" fontId="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0" fontId="0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73" fontId="7" fillId="0" borderId="12" xfId="0" applyNumberFormat="1" applyFont="1" applyBorder="1" applyAlignment="1">
      <alignment/>
    </xf>
    <xf numFmtId="173" fontId="7" fillId="2" borderId="12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2" borderId="14" xfId="0" applyNumberFormat="1" applyFont="1" applyFill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2" borderId="15" xfId="0" applyNumberFormat="1" applyFont="1" applyFill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2" borderId="2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195" fontId="5" fillId="2" borderId="0" xfId="15" applyNumberFormat="1" applyFont="1" applyFill="1" applyAlignment="1">
      <alignment/>
    </xf>
    <xf numFmtId="174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 wrapText="1"/>
    </xf>
    <xf numFmtId="174" fontId="5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74" fontId="5" fillId="0" borderId="0" xfId="0" applyNumberFormat="1" applyFont="1" applyAlignment="1">
      <alignment horizontal="center" wrapText="1"/>
    </xf>
    <xf numFmtId="195" fontId="4" fillId="0" borderId="0" xfId="15" applyNumberFormat="1" applyFont="1" applyAlignment="1">
      <alignment/>
    </xf>
    <xf numFmtId="173" fontId="5" fillId="2" borderId="20" xfId="0" applyNumberFormat="1" applyFont="1" applyFill="1" applyBorder="1" applyAlignment="1">
      <alignment/>
    </xf>
    <xf numFmtId="173" fontId="4" fillId="0" borderId="2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173" fontId="5" fillId="0" borderId="22" xfId="0" applyNumberFormat="1" applyFont="1" applyBorder="1" applyAlignment="1">
      <alignment/>
    </xf>
    <xf numFmtId="173" fontId="5" fillId="0" borderId="23" xfId="0" applyNumberFormat="1" applyFont="1" applyBorder="1" applyAlignment="1">
      <alignment/>
    </xf>
    <xf numFmtId="173" fontId="5" fillId="0" borderId="24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174" fontId="5" fillId="0" borderId="0" xfId="0" applyNumberFormat="1" applyFont="1" applyFill="1" applyAlignment="1">
      <alignment horizontal="center" wrapText="1"/>
    </xf>
    <xf numFmtId="174" fontId="5" fillId="0" borderId="0" xfId="0" applyNumberFormat="1" applyFont="1" applyFill="1" applyAlignment="1">
      <alignment horizontal="center"/>
    </xf>
    <xf numFmtId="195" fontId="4" fillId="0" borderId="20" xfId="15" applyNumberFormat="1" applyFont="1" applyBorder="1" applyAlignment="1">
      <alignment/>
    </xf>
    <xf numFmtId="195" fontId="5" fillId="2" borderId="20" xfId="15" applyNumberFormat="1" applyFont="1" applyFill="1" applyBorder="1" applyAlignment="1">
      <alignment/>
    </xf>
    <xf numFmtId="174" fontId="4" fillId="0" borderId="20" xfId="0" applyNumberFormat="1" applyFont="1" applyBorder="1" applyAlignment="1">
      <alignment/>
    </xf>
    <xf numFmtId="173" fontId="0" fillId="0" borderId="0" xfId="0" applyNumberFormat="1" applyFont="1" applyFill="1" applyBorder="1" applyAlignment="1">
      <alignment/>
    </xf>
    <xf numFmtId="195" fontId="0" fillId="0" borderId="0" xfId="15" applyNumberFormat="1" applyFont="1" applyAlignment="1">
      <alignment/>
    </xf>
    <xf numFmtId="173" fontId="1" fillId="2" borderId="23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173" fontId="1" fillId="0" borderId="0" xfId="0" applyNumberFormat="1" applyFont="1" applyAlignment="1">
      <alignment/>
    </xf>
    <xf numFmtId="173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73" fontId="1" fillId="0" borderId="26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/>
    </xf>
    <xf numFmtId="173" fontId="1" fillId="0" borderId="27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21" applyFont="1">
      <alignment/>
      <protection/>
    </xf>
    <xf numFmtId="173" fontId="1" fillId="0" borderId="28" xfId="0" applyNumberFormat="1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28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1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3" fontId="1" fillId="2" borderId="0" xfId="0" applyNumberFormat="1" applyFont="1" applyFill="1" applyBorder="1" applyAlignment="1">
      <alignment/>
    </xf>
    <xf numFmtId="173" fontId="1" fillId="2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3" fontId="0" fillId="0" borderId="23" xfId="0" applyNumberFormat="1" applyFont="1" applyBorder="1" applyAlignment="1">
      <alignment/>
    </xf>
    <xf numFmtId="173" fontId="1" fillId="0" borderId="23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73" fontId="1" fillId="0" borderId="13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173" fontId="1" fillId="2" borderId="13" xfId="0" applyNumberFormat="1" applyFont="1" applyFill="1" applyBorder="1" applyAlignment="1">
      <alignment/>
    </xf>
    <xf numFmtId="173" fontId="1" fillId="0" borderId="2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73" fontId="1" fillId="0" borderId="26" xfId="0" applyNumberFormat="1" applyFont="1" applyBorder="1" applyAlignment="1">
      <alignment/>
    </xf>
    <xf numFmtId="173" fontId="1" fillId="0" borderId="32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95" fontId="0" fillId="0" borderId="0" xfId="15" applyNumberFormat="1" applyFont="1" applyBorder="1" applyAlignment="1">
      <alignment/>
    </xf>
    <xf numFmtId="173" fontId="0" fillId="0" borderId="23" xfId="0" applyNumberFormat="1" applyFont="1" applyFill="1" applyBorder="1" applyAlignment="1">
      <alignment/>
    </xf>
    <xf numFmtId="195" fontId="1" fillId="0" borderId="0" xfId="15" applyNumberFormat="1" applyFont="1" applyBorder="1" applyAlignment="1">
      <alignment/>
    </xf>
    <xf numFmtId="173" fontId="1" fillId="0" borderId="3" xfId="0" applyNumberFormat="1" applyFont="1" applyBorder="1" applyAlignment="1">
      <alignment horizontal="center" wrapText="1"/>
    </xf>
    <xf numFmtId="173" fontId="0" fillId="2" borderId="23" xfId="0" applyNumberFormat="1" applyFont="1" applyFill="1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3" fillId="0" borderId="0" xfId="0" applyFont="1" applyFill="1" applyAlignment="1">
      <alignment horizontal="left"/>
    </xf>
    <xf numFmtId="173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21" applyFont="1" applyFill="1">
      <alignment/>
      <protection/>
    </xf>
    <xf numFmtId="173" fontId="1" fillId="0" borderId="33" xfId="0" applyNumberFormat="1" applyFont="1" applyBorder="1" applyAlignment="1">
      <alignment/>
    </xf>
    <xf numFmtId="173" fontId="1" fillId="0" borderId="33" xfId="0" applyNumberFormat="1" applyFont="1" applyBorder="1" applyAlignment="1">
      <alignment horizontal="center"/>
    </xf>
    <xf numFmtId="173" fontId="1" fillId="0" borderId="34" xfId="0" applyNumberFormat="1" applyFont="1" applyBorder="1" applyAlignment="1">
      <alignment horizontal="center" wrapText="1"/>
    </xf>
    <xf numFmtId="173" fontId="1" fillId="0" borderId="3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73" fontId="0" fillId="0" borderId="0" xfId="0" applyNumberFormat="1" applyFont="1" applyAlignment="1">
      <alignment horizontal="right"/>
    </xf>
    <xf numFmtId="173" fontId="1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49" fontId="0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74" fontId="1" fillId="0" borderId="0" xfId="0" applyNumberFormat="1" applyFont="1" applyAlignment="1">
      <alignment horizontal="center" wrapText="1"/>
    </xf>
    <xf numFmtId="174" fontId="0" fillId="0" borderId="0" xfId="0" applyNumberFormat="1" applyFont="1" applyAlignment="1">
      <alignment/>
    </xf>
    <xf numFmtId="174" fontId="0" fillId="0" borderId="1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3" xfId="0" applyFont="1" applyBorder="1" applyAlignment="1">
      <alignment/>
    </xf>
    <xf numFmtId="174" fontId="0" fillId="0" borderId="0" xfId="0" applyNumberFormat="1" applyFont="1" applyBorder="1" applyAlignment="1">
      <alignment/>
    </xf>
    <xf numFmtId="195" fontId="0" fillId="0" borderId="0" xfId="15" applyNumberFormat="1" applyFont="1" applyFill="1" applyAlignment="1">
      <alignment/>
    </xf>
    <xf numFmtId="195" fontId="0" fillId="0" borderId="13" xfId="15" applyNumberFormat="1" applyFont="1" applyBorder="1" applyAlignment="1">
      <alignment/>
    </xf>
    <xf numFmtId="0" fontId="18" fillId="0" borderId="0" xfId="0" applyFont="1" applyAlignment="1">
      <alignment/>
    </xf>
    <xf numFmtId="195" fontId="18" fillId="0" borderId="13" xfId="15" applyNumberFormat="1" applyFont="1" applyBorder="1" applyAlignment="1">
      <alignment/>
    </xf>
    <xf numFmtId="0" fontId="18" fillId="0" borderId="13" xfId="0" applyFont="1" applyBorder="1" applyAlignment="1">
      <alignment/>
    </xf>
    <xf numFmtId="174" fontId="0" fillId="2" borderId="0" xfId="0" applyNumberFormat="1" applyFont="1" applyFill="1" applyAlignment="1">
      <alignment/>
    </xf>
    <xf numFmtId="195" fontId="1" fillId="0" borderId="0" xfId="15" applyNumberFormat="1" applyFont="1" applyAlignment="1">
      <alignment/>
    </xf>
    <xf numFmtId="173" fontId="1" fillId="0" borderId="20" xfId="0" applyNumberFormat="1" applyFont="1" applyFill="1" applyBorder="1" applyAlignment="1">
      <alignment/>
    </xf>
    <xf numFmtId="173" fontId="1" fillId="2" borderId="20" xfId="0" applyNumberFormat="1" applyFont="1" applyFill="1" applyBorder="1" applyAlignment="1">
      <alignment/>
    </xf>
    <xf numFmtId="173" fontId="0" fillId="0" borderId="2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4" fontId="0" fillId="0" borderId="23" xfId="0" applyNumberFormat="1" applyFont="1" applyBorder="1" applyAlignment="1">
      <alignment/>
    </xf>
    <xf numFmtId="173" fontId="0" fillId="0" borderId="35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0" fontId="0" fillId="0" borderId="21" xfId="0" applyFont="1" applyBorder="1" applyAlignment="1">
      <alignment/>
    </xf>
    <xf numFmtId="195" fontId="0" fillId="0" borderId="21" xfId="15" applyNumberFormat="1" applyFont="1" applyBorder="1" applyAlignment="1">
      <alignment/>
    </xf>
    <xf numFmtId="0" fontId="1" fillId="0" borderId="0" xfId="0" applyFont="1" applyAlignment="1">
      <alignment horizontal="right"/>
    </xf>
    <xf numFmtId="195" fontId="0" fillId="0" borderId="23" xfId="15" applyNumberFormat="1" applyFont="1" applyBorder="1" applyAlignment="1">
      <alignment/>
    </xf>
    <xf numFmtId="0" fontId="14" fillId="0" borderId="0" xfId="0" applyFont="1" applyAlignment="1">
      <alignment/>
    </xf>
    <xf numFmtId="195" fontId="1" fillId="0" borderId="20" xfId="15" applyNumberFormat="1" applyFont="1" applyBorder="1" applyAlignment="1">
      <alignment/>
    </xf>
    <xf numFmtId="195" fontId="0" fillId="0" borderId="33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195" fontId="0" fillId="0" borderId="0" xfId="15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 locked="0"/>
    </xf>
    <xf numFmtId="195" fontId="1" fillId="0" borderId="0" xfId="15" applyNumberFormat="1" applyFont="1" applyBorder="1" applyAlignment="1">
      <alignment horizontal="right"/>
    </xf>
    <xf numFmtId="195" fontId="1" fillId="0" borderId="20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1" fontId="0" fillId="0" borderId="9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left"/>
    </xf>
    <xf numFmtId="1" fontId="0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13" fillId="0" borderId="9" xfId="0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2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0" fillId="0" borderId="23" xfId="0" applyNumberFormat="1" applyFont="1" applyFill="1" applyBorder="1" applyAlignment="1">
      <alignment horizontal="center"/>
    </xf>
    <xf numFmtId="173" fontId="1" fillId="0" borderId="1" xfId="0" applyNumberFormat="1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73" fontId="0" fillId="2" borderId="2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1" fillId="0" borderId="0" xfId="21" applyFont="1" applyAlignment="1">
      <alignment horizontal="center"/>
      <protection/>
    </xf>
    <xf numFmtId="0" fontId="1" fillId="0" borderId="11" xfId="21" applyFont="1" applyBorder="1" applyAlignment="1">
      <alignment horizontal="center"/>
      <protection/>
    </xf>
    <xf numFmtId="0" fontId="1" fillId="2" borderId="3" xfId="21" applyFont="1" applyFill="1" applyBorder="1" applyAlignment="1">
      <alignment horizontal="center"/>
      <protection/>
    </xf>
    <xf numFmtId="0" fontId="1" fillId="0" borderId="13" xfId="21" applyFont="1" applyBorder="1" applyAlignment="1">
      <alignment horizontal="center"/>
      <protection/>
    </xf>
    <xf numFmtId="0" fontId="1" fillId="0" borderId="36" xfId="21" applyFont="1" applyBorder="1" applyAlignment="1">
      <alignment horizontal="center"/>
      <protection/>
    </xf>
    <xf numFmtId="0" fontId="1" fillId="2" borderId="1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0" fillId="0" borderId="0" xfId="21" applyFont="1" applyBorder="1">
      <alignment/>
      <protection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center" wrapText="1"/>
    </xf>
    <xf numFmtId="38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" fontId="1" fillId="0" borderId="20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174" fontId="0" fillId="0" borderId="20" xfId="0" applyNumberFormat="1" applyFont="1" applyBorder="1" applyAlignment="1">
      <alignment/>
    </xf>
    <xf numFmtId="38" fontId="0" fillId="0" borderId="2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173" fontId="1" fillId="2" borderId="0" xfId="0" applyNumberFormat="1" applyFont="1" applyFill="1" applyAlignment="1">
      <alignment horizontal="right"/>
    </xf>
    <xf numFmtId="173" fontId="1" fillId="2" borderId="35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0" fontId="0" fillId="0" borderId="0" xfId="22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0" fontId="1" fillId="2" borderId="1" xfId="22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1" fillId="2" borderId="2" xfId="22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 wrapText="1"/>
    </xf>
    <xf numFmtId="10" fontId="1" fillId="2" borderId="3" xfId="22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19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0" fontId="0" fillId="0" borderId="2" xfId="22" applyNumberFormat="1" applyFont="1" applyBorder="1" applyAlignment="1">
      <alignment/>
    </xf>
    <xf numFmtId="195" fontId="0" fillId="0" borderId="2" xfId="15" applyNumberFormat="1" applyFont="1" applyBorder="1" applyAlignment="1">
      <alignment/>
    </xf>
    <xf numFmtId="195" fontId="0" fillId="0" borderId="2" xfId="15" applyNumberFormat="1" applyFont="1" applyBorder="1" applyAlignment="1">
      <alignment horizontal="center"/>
    </xf>
    <xf numFmtId="203" fontId="0" fillId="0" borderId="2" xfId="15" applyNumberFormat="1" applyFont="1" applyBorder="1" applyAlignment="1">
      <alignment/>
    </xf>
    <xf numFmtId="191" fontId="0" fillId="0" borderId="2" xfId="22" applyNumberFormat="1" applyFont="1" applyBorder="1" applyAlignment="1">
      <alignment horizontal="center"/>
    </xf>
    <xf numFmtId="191" fontId="0" fillId="0" borderId="2" xfId="22" applyNumberFormat="1" applyFont="1" applyBorder="1" applyAlignment="1">
      <alignment/>
    </xf>
    <xf numFmtId="191" fontId="0" fillId="0" borderId="2" xfId="15" applyNumberFormat="1" applyFont="1" applyBorder="1" applyAlignment="1">
      <alignment horizontal="center"/>
    </xf>
    <xf numFmtId="195" fontId="0" fillId="0" borderId="2" xfId="15" applyNumberFormat="1" applyFont="1" applyBorder="1" applyAlignment="1">
      <alignment/>
    </xf>
    <xf numFmtId="195" fontId="0" fillId="0" borderId="18" xfId="15" applyNumberFormat="1" applyFont="1" applyBorder="1" applyAlignment="1">
      <alignment/>
    </xf>
    <xf numFmtId="191" fontId="0" fillId="0" borderId="18" xfId="22" applyNumberFormat="1" applyFont="1" applyBorder="1" applyAlignment="1">
      <alignment horizontal="center"/>
    </xf>
    <xf numFmtId="191" fontId="0" fillId="0" borderId="18" xfId="22" applyNumberFormat="1" applyFont="1" applyBorder="1" applyAlignment="1">
      <alignment/>
    </xf>
    <xf numFmtId="195" fontId="0" fillId="0" borderId="18" xfId="15" applyNumberFormat="1" applyFont="1" applyBorder="1" applyAlignment="1">
      <alignment horizontal="center"/>
    </xf>
    <xf numFmtId="203" fontId="0" fillId="0" borderId="18" xfId="15" applyNumberFormat="1" applyFont="1" applyBorder="1" applyAlignment="1">
      <alignment/>
    </xf>
    <xf numFmtId="191" fontId="0" fillId="0" borderId="18" xfId="22" applyNumberFormat="1" applyFont="1" applyBorder="1" applyAlignment="1">
      <alignment/>
    </xf>
    <xf numFmtId="203" fontId="0" fillId="0" borderId="0" xfId="0" applyNumberFormat="1" applyFont="1" applyAlignment="1">
      <alignment/>
    </xf>
    <xf numFmtId="191" fontId="0" fillId="0" borderId="2" xfId="22" applyNumberFormat="1" applyFont="1" applyBorder="1" applyAlignment="1">
      <alignment/>
    </xf>
    <xf numFmtId="173" fontId="0" fillId="0" borderId="0" xfId="0" applyNumberFormat="1" applyAlignment="1">
      <alignment/>
    </xf>
    <xf numFmtId="195" fontId="0" fillId="0" borderId="0" xfId="0" applyNumberFormat="1" applyFont="1" applyBorder="1" applyAlignment="1">
      <alignment/>
    </xf>
    <xf numFmtId="173" fontId="1" fillId="0" borderId="23" xfId="0" applyNumberFormat="1" applyFont="1" applyBorder="1" applyAlignment="1">
      <alignment/>
    </xf>
    <xf numFmtId="195" fontId="1" fillId="2" borderId="0" xfId="15" applyNumberFormat="1" applyFont="1" applyFill="1" applyAlignment="1">
      <alignment/>
    </xf>
    <xf numFmtId="195" fontId="1" fillId="2" borderId="23" xfId="15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 horizontal="center"/>
    </xf>
    <xf numFmtId="173" fontId="1" fillId="0" borderId="29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17" applyFont="1" applyAlignment="1">
      <alignment/>
    </xf>
    <xf numFmtId="0" fontId="1" fillId="0" borderId="3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applyProtection="1">
      <alignment wrapText="1"/>
      <protection locked="0"/>
    </xf>
    <xf numFmtId="4" fontId="0" fillId="0" borderId="0" xfId="0" applyNumberFormat="1" applyFont="1" applyAlignment="1">
      <alignment horizontal="center"/>
    </xf>
    <xf numFmtId="194" fontId="0" fillId="0" borderId="0" xfId="0" applyNumberFormat="1" applyFont="1" applyAlignment="1">
      <alignment horizontal="center"/>
    </xf>
    <xf numFmtId="0" fontId="1" fillId="0" borderId="33" xfId="0" applyFont="1" applyFill="1" applyBorder="1" applyAlignment="1">
      <alignment horizontal="center" wrapText="1"/>
    </xf>
    <xf numFmtId="195" fontId="0" fillId="0" borderId="0" xfId="15" applyNumberFormat="1" applyFont="1" applyAlignment="1">
      <alignment/>
    </xf>
    <xf numFmtId="0" fontId="1" fillId="0" borderId="10" xfId="0" applyFont="1" applyFill="1" applyBorder="1" applyAlignment="1">
      <alignment horizontal="center" wrapText="1"/>
    </xf>
    <xf numFmtId="43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13" fontId="0" fillId="0" borderId="0" xfId="0" applyNumberFormat="1" applyAlignment="1">
      <alignment/>
    </xf>
    <xf numFmtId="213" fontId="0" fillId="0" borderId="13" xfId="0" applyNumberFormat="1" applyBorder="1" applyAlignment="1">
      <alignment/>
    </xf>
    <xf numFmtId="195" fontId="1" fillId="2" borderId="13" xfId="15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203" fontId="21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205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3" fontId="21" fillId="0" borderId="0" xfId="15" applyFont="1" applyAlignment="1">
      <alignment/>
    </xf>
    <xf numFmtId="3" fontId="6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38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8" fontId="21" fillId="0" borderId="0" xfId="0" applyNumberFormat="1" applyFont="1" applyAlignment="1">
      <alignment/>
    </xf>
    <xf numFmtId="203" fontId="21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21" fillId="0" borderId="0" xfId="0" applyNumberFormat="1" applyFont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38" fontId="24" fillId="0" borderId="0" xfId="0" applyNumberFormat="1" applyFont="1" applyAlignment="1">
      <alignment/>
    </xf>
    <xf numFmtId="38" fontId="6" fillId="0" borderId="0" xfId="0" applyNumberFormat="1" applyFont="1" applyAlignment="1">
      <alignment horizontal="right"/>
    </xf>
    <xf numFmtId="0" fontId="21" fillId="0" borderId="38" xfId="0" applyFont="1" applyBorder="1" applyAlignment="1">
      <alignment/>
    </xf>
    <xf numFmtId="17" fontId="21" fillId="0" borderId="39" xfId="0" applyNumberFormat="1" applyFont="1" applyBorder="1" applyAlignment="1">
      <alignment/>
    </xf>
    <xf numFmtId="17" fontId="6" fillId="0" borderId="40" xfId="0" applyNumberFormat="1" applyFont="1" applyBorder="1" applyAlignment="1">
      <alignment horizontal="right"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1" xfId="0" applyFont="1" applyBorder="1" applyAlignment="1">
      <alignment/>
    </xf>
    <xf numFmtId="205" fontId="21" fillId="0" borderId="41" xfId="0" applyNumberFormat="1" applyFont="1" applyBorder="1" applyAlignment="1">
      <alignment/>
    </xf>
    <xf numFmtId="205" fontId="21" fillId="0" borderId="42" xfId="0" applyNumberFormat="1" applyFont="1" applyBorder="1" applyAlignment="1">
      <alignment/>
    </xf>
    <xf numFmtId="205" fontId="6" fillId="0" borderId="43" xfId="0" applyNumberFormat="1" applyFont="1" applyBorder="1" applyAlignment="1">
      <alignment/>
    </xf>
    <xf numFmtId="205" fontId="6" fillId="0" borderId="41" xfId="0" applyNumberFormat="1" applyFont="1" applyBorder="1" applyAlignment="1">
      <alignment/>
    </xf>
    <xf numFmtId="205" fontId="21" fillId="0" borderId="44" xfId="0" applyNumberFormat="1" applyFont="1" applyBorder="1" applyAlignment="1">
      <alignment/>
    </xf>
    <xf numFmtId="205" fontId="6" fillId="0" borderId="45" xfId="0" applyNumberFormat="1" applyFont="1" applyBorder="1" applyAlignment="1">
      <alignment/>
    </xf>
    <xf numFmtId="205" fontId="21" fillId="0" borderId="46" xfId="0" applyNumberFormat="1" applyFont="1" applyBorder="1" applyAlignment="1">
      <alignment/>
    </xf>
    <xf numFmtId="205" fontId="6" fillId="0" borderId="47" xfId="0" applyNumberFormat="1" applyFont="1" applyBorder="1" applyAlignment="1">
      <alignment/>
    </xf>
    <xf numFmtId="205" fontId="6" fillId="0" borderId="42" xfId="0" applyNumberFormat="1" applyFont="1" applyBorder="1" applyAlignment="1">
      <alignment/>
    </xf>
    <xf numFmtId="205" fontId="6" fillId="0" borderId="44" xfId="0" applyNumberFormat="1" applyFont="1" applyBorder="1" applyAlignment="1">
      <alignment/>
    </xf>
    <xf numFmtId="205" fontId="21" fillId="0" borderId="39" xfId="0" applyNumberFormat="1" applyFont="1" applyBorder="1" applyAlignment="1">
      <alignment/>
    </xf>
    <xf numFmtId="205" fontId="21" fillId="0" borderId="48" xfId="0" applyNumberFormat="1" applyFont="1" applyBorder="1" applyAlignment="1">
      <alignment/>
    </xf>
    <xf numFmtId="205" fontId="21" fillId="0" borderId="49" xfId="0" applyNumberFormat="1" applyFont="1" applyBorder="1" applyAlignment="1">
      <alignment/>
    </xf>
    <xf numFmtId="205" fontId="6" fillId="0" borderId="50" xfId="0" applyNumberFormat="1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6" fillId="0" borderId="50" xfId="0" applyFont="1" applyBorder="1" applyAlignment="1">
      <alignment/>
    </xf>
    <xf numFmtId="203" fontId="21" fillId="0" borderId="0" xfId="0" applyNumberFormat="1" applyFont="1" applyFill="1" applyBorder="1" applyAlignment="1">
      <alignment/>
    </xf>
    <xf numFmtId="205" fontId="21" fillId="0" borderId="0" xfId="0" applyNumberFormat="1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3" fontId="1" fillId="0" borderId="2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29"/>
  <sheetViews>
    <sheetView tabSelected="1" workbookViewId="0" topLeftCell="A4">
      <selection activeCell="G11" sqref="G11"/>
    </sheetView>
  </sheetViews>
  <sheetFormatPr defaultColWidth="9.140625" defaultRowHeight="12.75"/>
  <cols>
    <col min="1" max="16384" width="9.140625" style="2" customWidth="1"/>
  </cols>
  <sheetData>
    <row r="1" ht="12.75">
      <c r="A1" s="2" t="s">
        <v>254</v>
      </c>
    </row>
    <row r="15" ht="20.25">
      <c r="A15" s="185" t="s">
        <v>34</v>
      </c>
    </row>
    <row r="16" ht="20.25">
      <c r="A16" s="185"/>
    </row>
    <row r="17" ht="20.25">
      <c r="A17" s="185"/>
    </row>
    <row r="18" ht="20.25">
      <c r="A18" s="185"/>
    </row>
    <row r="19" ht="20.25">
      <c r="A19" s="185" t="s">
        <v>38</v>
      </c>
    </row>
    <row r="20" ht="20.25">
      <c r="A20" s="185" t="s">
        <v>492</v>
      </c>
    </row>
    <row r="22" ht="21.75" customHeight="1">
      <c r="A22" s="185" t="s">
        <v>623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C50"/>
  <sheetViews>
    <sheetView workbookViewId="0" topLeftCell="A1">
      <pane ySplit="5" topLeftCell="BM6" activePane="bottomLeft" state="frozen"/>
      <selection pane="topLeft" activeCell="M23" sqref="M23"/>
      <selection pane="bottomLeft" activeCell="B8" sqref="B8"/>
    </sheetView>
  </sheetViews>
  <sheetFormatPr defaultColWidth="9.140625" defaultRowHeight="12.75"/>
  <cols>
    <col min="1" max="1" width="9.00390625" style="2" customWidth="1"/>
    <col min="2" max="2" width="62.7109375" style="2" customWidth="1"/>
    <col min="3" max="3" width="13.28125" style="122" bestFit="1" customWidth="1"/>
    <col min="4" max="16384" width="9.140625" style="2" customWidth="1"/>
  </cols>
  <sheetData>
    <row r="1" ht="12.75">
      <c r="A1" s="186" t="s">
        <v>34</v>
      </c>
    </row>
    <row r="2" ht="12.75">
      <c r="A2" s="186" t="s">
        <v>569</v>
      </c>
    </row>
    <row r="4" ht="12.75">
      <c r="A4" s="186" t="s">
        <v>289</v>
      </c>
    </row>
    <row r="5" spans="1:3" ht="21.75" customHeight="1">
      <c r="A5" s="219" t="s">
        <v>290</v>
      </c>
      <c r="B5" s="219" t="s">
        <v>291</v>
      </c>
      <c r="C5" s="220" t="s">
        <v>292</v>
      </c>
    </row>
    <row r="6" spans="1:3" ht="15.75" customHeight="1">
      <c r="A6" s="145"/>
      <c r="B6" s="145"/>
      <c r="C6" s="165"/>
    </row>
    <row r="7" spans="1:3" ht="11.25" customHeight="1">
      <c r="A7" s="145"/>
      <c r="B7" s="145" t="s">
        <v>547</v>
      </c>
      <c r="C7" s="165">
        <v>300481</v>
      </c>
    </row>
    <row r="8" spans="2:3" ht="12.75">
      <c r="B8" s="2" t="s">
        <v>567</v>
      </c>
      <c r="C8" s="122">
        <v>100000</v>
      </c>
    </row>
    <row r="9" spans="2:3" ht="12.75">
      <c r="B9" s="2" t="s">
        <v>545</v>
      </c>
      <c r="C9" s="122">
        <v>55000</v>
      </c>
    </row>
    <row r="10" spans="2:3" ht="12.75">
      <c r="B10" s="2" t="s">
        <v>546</v>
      </c>
      <c r="C10" s="122">
        <v>15000</v>
      </c>
    </row>
    <row r="11" spans="2:3" ht="12.75">
      <c r="B11" s="2" t="s">
        <v>548</v>
      </c>
      <c r="C11" s="122">
        <f>134000</f>
        <v>134000</v>
      </c>
    </row>
    <row r="12" spans="2:3" ht="12.75">
      <c r="B12" s="2" t="s">
        <v>549</v>
      </c>
      <c r="C12" s="122">
        <v>11750</v>
      </c>
    </row>
    <row r="13" spans="2:3" ht="12.75">
      <c r="B13" s="2" t="s">
        <v>555</v>
      </c>
      <c r="C13" s="122">
        <v>15000</v>
      </c>
    </row>
    <row r="14" spans="2:3" ht="12.75">
      <c r="B14" s="2" t="s">
        <v>444</v>
      </c>
      <c r="C14" s="122">
        <v>100000</v>
      </c>
    </row>
    <row r="16" spans="2:3" ht="12.75">
      <c r="B16" s="221" t="s">
        <v>232</v>
      </c>
      <c r="C16" s="222">
        <f>SUM(C7:C14)</f>
        <v>731231</v>
      </c>
    </row>
    <row r="18" ht="12.75">
      <c r="A18" s="223" t="s">
        <v>293</v>
      </c>
    </row>
    <row r="20" spans="2:3" ht="12.75">
      <c r="B20" s="2" t="s">
        <v>544</v>
      </c>
      <c r="C20" s="122">
        <v>50000</v>
      </c>
    </row>
    <row r="22" spans="2:3" ht="12.75">
      <c r="B22" s="145" t="s">
        <v>429</v>
      </c>
      <c r="C22" s="165">
        <v>10000</v>
      </c>
    </row>
    <row r="23" spans="2:3" ht="12.75">
      <c r="B23" s="145"/>
      <c r="C23" s="165"/>
    </row>
    <row r="24" spans="2:3" ht="12.75">
      <c r="B24" s="145" t="s">
        <v>466</v>
      </c>
      <c r="C24" s="125">
        <v>9500</v>
      </c>
    </row>
    <row r="25" spans="2:3" ht="12.75">
      <c r="B25" s="145"/>
      <c r="C25" s="125"/>
    </row>
    <row r="26" spans="2:3" ht="12.75">
      <c r="B26" s="145" t="s">
        <v>628</v>
      </c>
      <c r="C26" s="125">
        <v>6800</v>
      </c>
    </row>
    <row r="27" spans="1:3" s="1" customFormat="1" ht="12.75">
      <c r="A27" s="2"/>
      <c r="B27" s="2"/>
      <c r="C27" s="122"/>
    </row>
    <row r="28" spans="2:3" ht="12.75">
      <c r="B28" s="221" t="s">
        <v>232</v>
      </c>
      <c r="C28" s="222">
        <f>SUM(C20:C27)</f>
        <v>76300</v>
      </c>
    </row>
    <row r="29" spans="1:3" ht="13.5" thickBot="1">
      <c r="A29" s="1"/>
      <c r="B29" s="1" t="s">
        <v>294</v>
      </c>
      <c r="C29" s="224">
        <f>C16+C28</f>
        <v>807531</v>
      </c>
    </row>
    <row r="30" ht="13.5" thickTop="1"/>
    <row r="50" spans="2:3" ht="12.75">
      <c r="B50" s="2" t="s">
        <v>295</v>
      </c>
      <c r="C50" s="225">
        <f>SUM(C8:C49)</f>
        <v>2122112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D24"/>
  <sheetViews>
    <sheetView workbookViewId="0" topLeftCell="A1">
      <selection activeCell="E14" sqref="E14"/>
    </sheetView>
  </sheetViews>
  <sheetFormatPr defaultColWidth="9.140625" defaultRowHeight="12.75"/>
  <cols>
    <col min="1" max="1" width="9.140625" style="2" customWidth="1"/>
    <col min="2" max="2" width="29.8515625" style="2" customWidth="1"/>
    <col min="3" max="3" width="45.140625" style="2" customWidth="1"/>
    <col min="4" max="4" width="12.28125" style="187" customWidth="1"/>
    <col min="5" max="16384" width="9.140625" style="2" customWidth="1"/>
  </cols>
  <sheetData>
    <row r="1" ht="12.75">
      <c r="A1" s="186" t="s">
        <v>34</v>
      </c>
    </row>
    <row r="2" ht="12.75">
      <c r="A2" s="186" t="s">
        <v>569</v>
      </c>
    </row>
    <row r="4" ht="12.75">
      <c r="A4" s="186" t="s">
        <v>296</v>
      </c>
    </row>
    <row r="5" spans="1:4" ht="18" customHeight="1">
      <c r="A5" s="226" t="s">
        <v>297</v>
      </c>
      <c r="B5" s="226" t="s">
        <v>291</v>
      </c>
      <c r="C5" s="219"/>
      <c r="D5" s="227" t="s">
        <v>292</v>
      </c>
    </row>
    <row r="6" spans="1:4" ht="12.75">
      <c r="A6" s="202"/>
      <c r="B6" s="202"/>
      <c r="C6" s="202"/>
      <c r="D6" s="228"/>
    </row>
    <row r="7" spans="1:4" ht="12.75">
      <c r="A7" s="145"/>
      <c r="B7" s="145" t="s">
        <v>420</v>
      </c>
      <c r="C7" s="145"/>
      <c r="D7" s="229">
        <v>575000</v>
      </c>
    </row>
    <row r="8" spans="1:4" ht="12.75">
      <c r="A8" s="145"/>
      <c r="B8" s="145"/>
      <c r="C8" s="145"/>
      <c r="D8" s="229"/>
    </row>
    <row r="9" spans="1:4" ht="12.75">
      <c r="A9" s="145"/>
      <c r="B9" s="145"/>
      <c r="C9" s="145"/>
      <c r="D9" s="229"/>
    </row>
    <row r="10" spans="1:4" ht="12.75">
      <c r="A10" s="145"/>
      <c r="B10" s="339" t="s">
        <v>536</v>
      </c>
      <c r="C10" s="339" t="s">
        <v>540</v>
      </c>
      <c r="D10" s="340">
        <v>6000</v>
      </c>
    </row>
    <row r="11" spans="1:4" ht="12.75">
      <c r="A11" s="145"/>
      <c r="B11" s="339"/>
      <c r="C11" s="339"/>
      <c r="D11" s="340"/>
    </row>
    <row r="12" spans="1:4" ht="12.75">
      <c r="A12" s="145"/>
      <c r="B12" s="145" t="s">
        <v>537</v>
      </c>
      <c r="C12" s="145"/>
      <c r="D12" s="340"/>
    </row>
    <row r="13" spans="1:4" ht="12.75">
      <c r="A13" s="145"/>
      <c r="B13" s="145"/>
      <c r="C13" s="145"/>
      <c r="D13" s="340"/>
    </row>
    <row r="14" spans="1:4" ht="12.75">
      <c r="A14" s="145"/>
      <c r="B14" s="171" t="s">
        <v>538</v>
      </c>
      <c r="C14" s="165"/>
      <c r="D14" s="335">
        <v>15000</v>
      </c>
    </row>
    <row r="15" spans="1:4" ht="12.75">
      <c r="A15" s="145"/>
      <c r="B15" s="171"/>
      <c r="C15" s="165"/>
      <c r="D15" s="335"/>
    </row>
    <row r="16" spans="1:4" ht="12.75">
      <c r="A16" s="145"/>
      <c r="B16" s="152" t="s">
        <v>539</v>
      </c>
      <c r="C16" s="171"/>
      <c r="D16" s="340">
        <v>10000</v>
      </c>
    </row>
    <row r="17" spans="1:4" ht="12.75">
      <c r="A17" s="145"/>
      <c r="B17" s="171"/>
      <c r="C17" s="171"/>
      <c r="D17" s="230"/>
    </row>
    <row r="18" spans="1:4" ht="12.75">
      <c r="A18" s="145"/>
      <c r="B18" s="336" t="s">
        <v>541</v>
      </c>
      <c r="C18" s="336" t="s">
        <v>542</v>
      </c>
      <c r="D18" s="335">
        <v>9400</v>
      </c>
    </row>
    <row r="19" spans="1:4" ht="12.75">
      <c r="A19" s="145"/>
      <c r="B19" s="336"/>
      <c r="C19" s="336"/>
      <c r="D19" s="230"/>
    </row>
    <row r="20" spans="1:4" ht="25.5">
      <c r="A20" s="145"/>
      <c r="B20" s="341" t="s">
        <v>543</v>
      </c>
      <c r="C20" s="336"/>
      <c r="D20" s="335">
        <v>5000</v>
      </c>
    </row>
    <row r="21" spans="1:4" ht="12.75">
      <c r="A21" s="145"/>
      <c r="B21" s="171"/>
      <c r="C21" s="171"/>
      <c r="D21" s="230"/>
    </row>
    <row r="22" spans="1:4" ht="13.5" thickBot="1">
      <c r="A22" s="145"/>
      <c r="B22" s="145"/>
      <c r="C22" s="231" t="s">
        <v>232</v>
      </c>
      <c r="D22" s="232">
        <f>SUM(D7:D20)</f>
        <v>620400</v>
      </c>
    </row>
    <row r="23" spans="1:4" ht="13.5" thickTop="1">
      <c r="A23" s="145"/>
      <c r="B23" s="145"/>
      <c r="C23" s="145"/>
      <c r="D23" s="192"/>
    </row>
    <row r="24" spans="1:4" ht="12.75">
      <c r="A24" s="145"/>
      <c r="B24" s="145"/>
      <c r="C24" s="145"/>
      <c r="D24" s="192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  <headerFooter alignWithMargins="0">
    <oddHeader>&amp;C&amp;F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P54"/>
  <sheetViews>
    <sheetView zoomScale="70" zoomScaleNormal="70" zoomScaleSheetLayoutView="85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1" sqref="B51"/>
    </sheetView>
  </sheetViews>
  <sheetFormatPr defaultColWidth="9.140625" defaultRowHeight="12.75"/>
  <cols>
    <col min="1" max="1" width="40.140625" style="354" bestFit="1" customWidth="1"/>
    <col min="2" max="2" width="12.7109375" style="354" bestFit="1" customWidth="1"/>
    <col min="3" max="3" width="13.7109375" style="354" bestFit="1" customWidth="1"/>
    <col min="4" max="13" width="12.7109375" style="354" bestFit="1" customWidth="1"/>
    <col min="14" max="14" width="14.28125" style="10" bestFit="1" customWidth="1"/>
    <col min="15" max="15" width="17.00390625" style="354" bestFit="1" customWidth="1"/>
    <col min="16" max="16" width="10.140625" style="354" bestFit="1" customWidth="1"/>
    <col min="17" max="16384" width="9.140625" style="354" customWidth="1"/>
  </cols>
  <sheetData>
    <row r="1" ht="15.75">
      <c r="A1" s="359" t="s">
        <v>34</v>
      </c>
    </row>
    <row r="2" ht="15.75">
      <c r="A2" s="359" t="s">
        <v>599</v>
      </c>
    </row>
    <row r="5" spans="1:14" ht="15.75">
      <c r="A5" s="376"/>
      <c r="B5" s="377">
        <v>39904</v>
      </c>
      <c r="C5" s="377">
        <v>39934</v>
      </c>
      <c r="D5" s="377">
        <v>39965</v>
      </c>
      <c r="E5" s="377">
        <v>39995</v>
      </c>
      <c r="F5" s="377">
        <v>40026</v>
      </c>
      <c r="G5" s="377">
        <v>40057</v>
      </c>
      <c r="H5" s="377">
        <v>40087</v>
      </c>
      <c r="I5" s="377">
        <v>40118</v>
      </c>
      <c r="J5" s="377">
        <v>40148</v>
      </c>
      <c r="K5" s="377">
        <v>40179</v>
      </c>
      <c r="L5" s="377">
        <v>40210</v>
      </c>
      <c r="M5" s="377">
        <v>40238</v>
      </c>
      <c r="N5" s="378" t="s">
        <v>294</v>
      </c>
    </row>
    <row r="6" spans="1:14" ht="15.75">
      <c r="A6" s="397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9"/>
    </row>
    <row r="7" spans="1:14" ht="15.75">
      <c r="A7" s="382" t="s">
        <v>600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1"/>
    </row>
    <row r="8" spans="1:14" ht="15.75">
      <c r="A8" s="382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1"/>
    </row>
    <row r="9" spans="1:14" ht="15.75">
      <c r="A9" s="382" t="s">
        <v>133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1"/>
    </row>
    <row r="10" spans="1:14" ht="15.75">
      <c r="A10" s="383" t="s">
        <v>115</v>
      </c>
      <c r="B10" s="384">
        <v>69303.36149080723</v>
      </c>
      <c r="C10" s="384">
        <v>882.4571826931726</v>
      </c>
      <c r="D10" s="384">
        <v>1031.6981649725644</v>
      </c>
      <c r="E10" s="384">
        <v>2475.5179005127284</v>
      </c>
      <c r="F10" s="384">
        <v>2145.799451290816</v>
      </c>
      <c r="G10" s="384">
        <v>1631.2651344787264</v>
      </c>
      <c r="H10" s="384">
        <v>70166.70321969093</v>
      </c>
      <c r="I10" s="384">
        <v>956.2099937033372</v>
      </c>
      <c r="J10" s="384">
        <v>766.188045335972</v>
      </c>
      <c r="K10" s="384">
        <v>937.9887109831789</v>
      </c>
      <c r="L10" s="384">
        <v>896.3400647656742</v>
      </c>
      <c r="M10" s="384">
        <v>896.3400647656742</v>
      </c>
      <c r="N10" s="385">
        <f aca="true" t="shared" si="0" ref="N10:N23">SUM(B10:M10)</f>
        <v>152089.86942400006</v>
      </c>
    </row>
    <row r="11" spans="1:14" ht="15.75">
      <c r="A11" s="383" t="s">
        <v>198</v>
      </c>
      <c r="B11" s="384">
        <v>689379.2079841935</v>
      </c>
      <c r="C11" s="384">
        <v>19372.63130790681</v>
      </c>
      <c r="D11" s="384">
        <v>19920.394913196007</v>
      </c>
      <c r="E11" s="384">
        <v>25219.689327156608</v>
      </c>
      <c r="F11" s="384">
        <v>24009.513920122336</v>
      </c>
      <c r="G11" s="384">
        <v>22121.003350724117</v>
      </c>
      <c r="H11" s="384">
        <v>874650.6739073491</v>
      </c>
      <c r="I11" s="384">
        <v>164518.15021842765</v>
      </c>
      <c r="J11" s="384">
        <v>18945.88524332104</v>
      </c>
      <c r="K11" s="384">
        <v>19576.450323828372</v>
      </c>
      <c r="L11" s="384">
        <v>19423.5860618872</v>
      </c>
      <c r="M11" s="384">
        <v>19423.5860618872</v>
      </c>
      <c r="N11" s="385">
        <f t="shared" si="0"/>
        <v>1916560.77262</v>
      </c>
    </row>
    <row r="12" spans="1:14" ht="15.75">
      <c r="A12" s="383" t="s">
        <v>135</v>
      </c>
      <c r="B12" s="384">
        <v>3198.239632994513</v>
      </c>
      <c r="C12" s="384">
        <v>3257.594674822344</v>
      </c>
      <c r="D12" s="384">
        <v>371266.3965946352</v>
      </c>
      <c r="E12" s="384">
        <v>6890.123234685617</v>
      </c>
      <c r="F12" s="384">
        <v>6138.2927048664205</v>
      </c>
      <c r="G12" s="384">
        <v>4965.0413780696235</v>
      </c>
      <c r="H12" s="384">
        <v>5166.848520284249</v>
      </c>
      <c r="I12" s="384">
        <v>3425.767293334533</v>
      </c>
      <c r="J12" s="384">
        <v>376791.47548799135</v>
      </c>
      <c r="K12" s="384">
        <v>3384.218764055051</v>
      </c>
      <c r="L12" s="384">
        <v>3289.250697130521</v>
      </c>
      <c r="M12" s="384">
        <v>3289.250697130521</v>
      </c>
      <c r="N12" s="385">
        <f t="shared" si="0"/>
        <v>791062.4996800001</v>
      </c>
    </row>
    <row r="13" spans="1:14" ht="15.75">
      <c r="A13" s="383" t="s">
        <v>116</v>
      </c>
      <c r="B13" s="384">
        <v>2981.132972024827</v>
      </c>
      <c r="C13" s="384">
        <v>2999.297045066115</v>
      </c>
      <c r="D13" s="384">
        <v>3103.4377305028333</v>
      </c>
      <c r="E13" s="384">
        <v>4110.938315192948</v>
      </c>
      <c r="F13" s="384">
        <v>145898.07005667</v>
      </c>
      <c r="G13" s="384">
        <v>27664.742579553844</v>
      </c>
      <c r="H13" s="384">
        <v>3583.5747278942163</v>
      </c>
      <c r="I13" s="384">
        <v>3050.761918683098</v>
      </c>
      <c r="J13" s="384">
        <v>2918.1641854816944</v>
      </c>
      <c r="K13" s="384">
        <v>3038.0470675541965</v>
      </c>
      <c r="L13" s="384">
        <v>120883.26885068815</v>
      </c>
      <c r="M13" s="384">
        <v>3008.984550688135</v>
      </c>
      <c r="N13" s="385">
        <f t="shared" si="0"/>
        <v>323240.4200000001</v>
      </c>
    </row>
    <row r="14" spans="1:14" ht="15.75">
      <c r="A14" s="383" t="s">
        <v>117</v>
      </c>
      <c r="B14" s="384">
        <v>4539.4167866031</v>
      </c>
      <c r="C14" s="384">
        <v>188555.7018361496</v>
      </c>
      <c r="D14" s="384">
        <v>4898.6268252826</v>
      </c>
      <c r="E14" s="384">
        <v>7857.6639755929355</v>
      </c>
      <c r="F14" s="384">
        <v>7181.922318671104</v>
      </c>
      <c r="G14" s="384">
        <v>6127.409680369404</v>
      </c>
      <c r="H14" s="384">
        <v>6308.7929672273685</v>
      </c>
      <c r="I14" s="384">
        <v>188706.85457519788</v>
      </c>
      <c r="J14" s="384">
        <v>4354.476964708704</v>
      </c>
      <c r="K14" s="384">
        <v>4706.573933315342</v>
      </c>
      <c r="L14" s="384">
        <v>4621.217092441007</v>
      </c>
      <c r="M14" s="384">
        <v>4621.217092441007</v>
      </c>
      <c r="N14" s="385">
        <f t="shared" si="0"/>
        <v>432479.874048</v>
      </c>
    </row>
    <row r="15" spans="1:14" ht="15.75">
      <c r="A15" s="383" t="s">
        <v>118</v>
      </c>
      <c r="B15" s="384">
        <v>21247.93036190819</v>
      </c>
      <c r="C15" s="384">
        <v>21476.483028994633</v>
      </c>
      <c r="D15" s="384">
        <v>22786.851653623577</v>
      </c>
      <c r="E15" s="384">
        <v>35463.90625468502</v>
      </c>
      <c r="F15" s="384">
        <v>32568.905804923386</v>
      </c>
      <c r="G15" s="384">
        <v>1105476.4674188478</v>
      </c>
      <c r="H15" s="384">
        <v>211990.55910694192</v>
      </c>
      <c r="I15" s="384">
        <v>22124.04891907289</v>
      </c>
      <c r="J15" s="384">
        <v>20455.614449341847</v>
      </c>
      <c r="K15" s="384">
        <v>21964.06205211238</v>
      </c>
      <c r="L15" s="384">
        <v>21598.37778477407</v>
      </c>
      <c r="M15" s="384">
        <v>915861.3651647739</v>
      </c>
      <c r="N15" s="385">
        <f t="shared" si="0"/>
        <v>2453014.571999999</v>
      </c>
    </row>
    <row r="16" spans="1:14" ht="15.75">
      <c r="A16" s="383" t="s">
        <v>209</v>
      </c>
      <c r="B16" s="384">
        <v>252297.85684483752</v>
      </c>
      <c r="C16" s="384">
        <v>2802.4988680999068</v>
      </c>
      <c r="D16" s="384">
        <v>3365.022570537615</v>
      </c>
      <c r="E16" s="384">
        <v>8807.112342958233</v>
      </c>
      <c r="F16" s="384">
        <v>7564.327418967947</v>
      </c>
      <c r="G16" s="384">
        <v>5624.928840214686</v>
      </c>
      <c r="H16" s="384">
        <v>255551.99105370682</v>
      </c>
      <c r="I16" s="384">
        <v>3080.4902326766814</v>
      </c>
      <c r="J16" s="384">
        <v>2364.2536580612277</v>
      </c>
      <c r="K16" s="384">
        <v>3011.8100131930078</v>
      </c>
      <c r="L16" s="384">
        <v>2854.8266543731825</v>
      </c>
      <c r="M16" s="384">
        <v>2854.8266543731825</v>
      </c>
      <c r="N16" s="385">
        <f t="shared" si="0"/>
        <v>550179.9451520002</v>
      </c>
    </row>
    <row r="17" spans="1:14" ht="15.75">
      <c r="A17" s="383" t="s">
        <v>136</v>
      </c>
      <c r="B17" s="384">
        <v>1597.388309196126</v>
      </c>
      <c r="C17" s="384">
        <v>1604.539519054901</v>
      </c>
      <c r="D17" s="384">
        <v>1645.5397889118767</v>
      </c>
      <c r="E17" s="384">
        <v>50640.085762411916</v>
      </c>
      <c r="F17" s="384">
        <v>10213.253244867441</v>
      </c>
      <c r="G17" s="384">
        <v>1810.2559893256575</v>
      </c>
      <c r="H17" s="384">
        <v>1834.5701028454919</v>
      </c>
      <c r="I17" s="384">
        <v>1624.8012803214297</v>
      </c>
      <c r="J17" s="384">
        <v>1572.5974483523732</v>
      </c>
      <c r="K17" s="384">
        <v>41956.045959420284</v>
      </c>
      <c r="L17" s="384">
        <v>1608.3534976462477</v>
      </c>
      <c r="M17" s="384">
        <v>1608.3534976462477</v>
      </c>
      <c r="N17" s="385">
        <f t="shared" si="0"/>
        <v>117715.78440000002</v>
      </c>
    </row>
    <row r="18" spans="1:14" ht="15.75">
      <c r="A18" s="383" t="s">
        <v>119</v>
      </c>
      <c r="B18" s="384">
        <v>6337.771026356031</v>
      </c>
      <c r="C18" s="384">
        <v>6448.471754969866</v>
      </c>
      <c r="D18" s="384">
        <v>7083.155932355851</v>
      </c>
      <c r="E18" s="384">
        <v>518905.00474613655</v>
      </c>
      <c r="F18" s="384">
        <v>97787.02734502798</v>
      </c>
      <c r="G18" s="384">
        <v>9632.962714761175</v>
      </c>
      <c r="H18" s="384">
        <v>10009.345192048215</v>
      </c>
      <c r="I18" s="384">
        <v>6762.123819375731</v>
      </c>
      <c r="J18" s="384">
        <v>5954.008500494738</v>
      </c>
      <c r="K18" s="384">
        <v>426400.40148134605</v>
      </c>
      <c r="L18" s="384">
        <v>6507.512143563911</v>
      </c>
      <c r="M18" s="384">
        <v>6507.512143563911</v>
      </c>
      <c r="N18" s="385">
        <f t="shared" si="0"/>
        <v>1108335.2968000001</v>
      </c>
    </row>
    <row r="19" spans="1:14" ht="15.75">
      <c r="A19" s="383" t="s">
        <v>120</v>
      </c>
      <c r="B19" s="384">
        <v>33295.469258792844</v>
      </c>
      <c r="C19" s="384">
        <v>33633.57846091571</v>
      </c>
      <c r="D19" s="384">
        <v>35572.07121975353</v>
      </c>
      <c r="E19" s="384">
        <v>54325.86163083566</v>
      </c>
      <c r="F19" s="384">
        <v>50043.145070612576</v>
      </c>
      <c r="G19" s="384">
        <v>1266219.6167873172</v>
      </c>
      <c r="H19" s="384">
        <v>44509.42446253486</v>
      </c>
      <c r="I19" s="384">
        <v>34591.5545335972</v>
      </c>
      <c r="J19" s="384">
        <v>32123.357358100206</v>
      </c>
      <c r="K19" s="384">
        <v>34354.87809211118</v>
      </c>
      <c r="L19" s="384">
        <v>33813.903368714586</v>
      </c>
      <c r="M19" s="384">
        <v>1588990.3095687144</v>
      </c>
      <c r="N19" s="385">
        <f t="shared" si="0"/>
        <v>3241473.169812</v>
      </c>
    </row>
    <row r="20" spans="1:14" ht="15.75">
      <c r="A20" s="383" t="s">
        <v>121</v>
      </c>
      <c r="B20" s="384">
        <v>504.4939806902342</v>
      </c>
      <c r="C20" s="384">
        <v>510.21494857725406</v>
      </c>
      <c r="D20" s="384">
        <v>543.0151644628347</v>
      </c>
      <c r="E20" s="384">
        <v>860.3381832628706</v>
      </c>
      <c r="F20" s="384">
        <v>33495.977390027285</v>
      </c>
      <c r="G20" s="384">
        <v>6235.16594079386</v>
      </c>
      <c r="H20" s="384">
        <v>694.2394156097268</v>
      </c>
      <c r="I20" s="384">
        <v>526.424357590477</v>
      </c>
      <c r="J20" s="384">
        <v>484.66129201523194</v>
      </c>
      <c r="K20" s="384">
        <v>522.4196800695631</v>
      </c>
      <c r="L20" s="384">
        <v>27660.993115450332</v>
      </c>
      <c r="M20" s="384">
        <v>513.2661314503314</v>
      </c>
      <c r="N20" s="385">
        <f t="shared" si="0"/>
        <v>72551.2096</v>
      </c>
    </row>
    <row r="21" spans="1:14" ht="15.75">
      <c r="A21" s="383" t="s">
        <v>122</v>
      </c>
      <c r="B21" s="384">
        <v>28919.51493958202</v>
      </c>
      <c r="C21" s="384">
        <v>29105.303371712995</v>
      </c>
      <c r="D21" s="384">
        <v>30170.49038259722</v>
      </c>
      <c r="E21" s="384">
        <v>824520.4208581283</v>
      </c>
      <c r="F21" s="384">
        <v>38122.23527780276</v>
      </c>
      <c r="G21" s="384">
        <v>34449.817269347244</v>
      </c>
      <c r="H21" s="384">
        <v>35081.49793859255</v>
      </c>
      <c r="I21" s="384">
        <v>29631.70392941741</v>
      </c>
      <c r="J21" s="384">
        <v>28275.44837486132</v>
      </c>
      <c r="K21" s="384">
        <v>1026613.5960269256</v>
      </c>
      <c r="L21" s="384">
        <v>198713.42101551619</v>
      </c>
      <c r="M21" s="384">
        <v>29204.390535516177</v>
      </c>
      <c r="N21" s="385">
        <f t="shared" si="0"/>
        <v>2332807.83992</v>
      </c>
    </row>
    <row r="22" spans="1:14" ht="15.75">
      <c r="A22" s="383" t="s">
        <v>123</v>
      </c>
      <c r="B22" s="384">
        <v>6017.744782765135</v>
      </c>
      <c r="C22" s="384">
        <v>6082.105671494108</v>
      </c>
      <c r="D22" s="384">
        <v>6451.10810020689</v>
      </c>
      <c r="E22" s="384">
        <v>10020.992061707295</v>
      </c>
      <c r="F22" s="384">
        <v>431799.4449378069</v>
      </c>
      <c r="G22" s="384">
        <v>79774.48133993092</v>
      </c>
      <c r="H22" s="384">
        <v>8152.380925609426</v>
      </c>
      <c r="I22" s="384">
        <v>6264.461522892867</v>
      </c>
      <c r="J22" s="384">
        <v>5794.627035171359</v>
      </c>
      <c r="K22" s="384">
        <v>6219.408900782585</v>
      </c>
      <c r="L22" s="384">
        <v>356869.19484281616</v>
      </c>
      <c r="M22" s="384">
        <v>6116.431478816227</v>
      </c>
      <c r="N22" s="385">
        <f t="shared" si="0"/>
        <v>929562.3815999998</v>
      </c>
    </row>
    <row r="23" spans="1:14" ht="15.75">
      <c r="A23" s="379" t="s">
        <v>463</v>
      </c>
      <c r="B23" s="384">
        <v>0</v>
      </c>
      <c r="C23" s="384">
        <v>0</v>
      </c>
      <c r="D23" s="384">
        <v>0</v>
      </c>
      <c r="E23" s="384">
        <v>0</v>
      </c>
      <c r="F23" s="384">
        <v>39036.25</v>
      </c>
      <c r="G23" s="384">
        <v>325974.25</v>
      </c>
      <c r="H23" s="384">
        <v>87815.71</v>
      </c>
      <c r="I23" s="384">
        <v>39036.25</v>
      </c>
      <c r="J23" s="384">
        <v>39036.25</v>
      </c>
      <c r="K23" s="384">
        <v>39036.25</v>
      </c>
      <c r="L23" s="384">
        <v>39036.25</v>
      </c>
      <c r="M23" s="384">
        <v>39036.25</v>
      </c>
      <c r="N23" s="385">
        <f t="shared" si="0"/>
        <v>648007.46</v>
      </c>
    </row>
    <row r="24" spans="1:14" ht="15.75">
      <c r="A24" s="386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5"/>
    </row>
    <row r="25" spans="1:15" ht="15.75">
      <c r="A25" s="386" t="s">
        <v>601</v>
      </c>
      <c r="B25" s="387">
        <f aca="true" t="shared" si="1" ref="B25:N25">SUM(B9:B23)</f>
        <v>1119619.5283707513</v>
      </c>
      <c r="C25" s="387">
        <f t="shared" si="1"/>
        <v>316730.8776704574</v>
      </c>
      <c r="D25" s="387">
        <f t="shared" si="1"/>
        <v>507837.8090410386</v>
      </c>
      <c r="E25" s="387">
        <f t="shared" si="1"/>
        <v>1550097.6545932665</v>
      </c>
      <c r="F25" s="387">
        <f t="shared" si="1"/>
        <v>926004.1649416569</v>
      </c>
      <c r="G25" s="387">
        <f t="shared" si="1"/>
        <v>2897707.4084237344</v>
      </c>
      <c r="H25" s="387">
        <f t="shared" si="1"/>
        <v>1615516.3115403352</v>
      </c>
      <c r="I25" s="387">
        <f t="shared" si="1"/>
        <v>504299.60259429127</v>
      </c>
      <c r="J25" s="387">
        <f t="shared" si="1"/>
        <v>539837.008043237</v>
      </c>
      <c r="K25" s="387">
        <f t="shared" si="1"/>
        <v>1631722.151005697</v>
      </c>
      <c r="L25" s="387">
        <f t="shared" si="1"/>
        <v>837776.4951897673</v>
      </c>
      <c r="M25" s="387">
        <f t="shared" si="1"/>
        <v>2621932.083641767</v>
      </c>
      <c r="N25" s="388">
        <f t="shared" si="1"/>
        <v>15069081.095056001</v>
      </c>
      <c r="O25" s="355"/>
    </row>
    <row r="26" spans="1:14" ht="15.75">
      <c r="A26" s="383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5"/>
    </row>
    <row r="27" spans="1:14" ht="15.75">
      <c r="A27" s="386" t="s">
        <v>602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5"/>
    </row>
    <row r="28" spans="1:14" ht="15.75">
      <c r="A28" s="383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5"/>
    </row>
    <row r="29" spans="1:14" ht="15.75">
      <c r="A29" s="386" t="s">
        <v>126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5"/>
    </row>
    <row r="30" spans="1:16" ht="15.75">
      <c r="A30" s="383" t="s">
        <v>42</v>
      </c>
      <c r="B30" s="384">
        <v>443577.819398252</v>
      </c>
      <c r="C30" s="384">
        <v>443577.819398252</v>
      </c>
      <c r="D30" s="384">
        <v>443577.819398252</v>
      </c>
      <c r="E30" s="384">
        <v>443577.819398252</v>
      </c>
      <c r="F30" s="384">
        <v>443577.819398252</v>
      </c>
      <c r="G30" s="384">
        <v>443577.819398252</v>
      </c>
      <c r="H30" s="384">
        <v>443577.819398252</v>
      </c>
      <c r="I30" s="384">
        <v>443577.819398252</v>
      </c>
      <c r="J30" s="384">
        <v>443577.819398252</v>
      </c>
      <c r="K30" s="384">
        <v>443577.819398252</v>
      </c>
      <c r="L30" s="384">
        <v>443577.819398252</v>
      </c>
      <c r="M30" s="384">
        <v>443577.819398252</v>
      </c>
      <c r="N30" s="385">
        <f>SUM(B30:M30)</f>
        <v>5322933.832779024</v>
      </c>
      <c r="P30" s="356"/>
    </row>
    <row r="31" spans="1:16" ht="15.75">
      <c r="A31" s="383" t="s">
        <v>603</v>
      </c>
      <c r="B31" s="384">
        <v>919520.6245369179</v>
      </c>
      <c r="C31" s="384">
        <v>884162.8116717188</v>
      </c>
      <c r="D31" s="384">
        <v>798605.3294446992</v>
      </c>
      <c r="E31" s="384">
        <v>443301.6659196662</v>
      </c>
      <c r="F31" s="384">
        <v>602511.917803529</v>
      </c>
      <c r="G31" s="384">
        <v>652092.6521291024</v>
      </c>
      <c r="H31" s="384">
        <v>627494.2925236038</v>
      </c>
      <c r="I31" s="384">
        <v>678372.3676719861</v>
      </c>
      <c r="J31" s="384">
        <v>579630.3200315092</v>
      </c>
      <c r="K31" s="384">
        <v>542763.1144242958</v>
      </c>
      <c r="L31" s="384">
        <v>882060.6403332697</v>
      </c>
      <c r="M31" s="384">
        <v>862895.2556408014</v>
      </c>
      <c r="N31" s="385">
        <f>SUM(B31:M31)</f>
        <v>8473410.9921311</v>
      </c>
      <c r="P31" s="356"/>
    </row>
    <row r="32" spans="1:15" ht="15.75">
      <c r="A32" s="386" t="s">
        <v>604</v>
      </c>
      <c r="B32" s="387">
        <f aca="true" t="shared" si="2" ref="B32:N32">SUM(B30:B31)</f>
        <v>1363098.4439351698</v>
      </c>
      <c r="C32" s="387">
        <f t="shared" si="2"/>
        <v>1327740.6310699708</v>
      </c>
      <c r="D32" s="387">
        <f t="shared" si="2"/>
        <v>1242183.1488429513</v>
      </c>
      <c r="E32" s="387">
        <f t="shared" si="2"/>
        <v>886879.4853179182</v>
      </c>
      <c r="F32" s="387">
        <f t="shared" si="2"/>
        <v>1046089.737201781</v>
      </c>
      <c r="G32" s="387">
        <f t="shared" si="2"/>
        <v>1095670.4715273543</v>
      </c>
      <c r="H32" s="387">
        <f t="shared" si="2"/>
        <v>1071072.1119218557</v>
      </c>
      <c r="I32" s="387">
        <f t="shared" si="2"/>
        <v>1121950.1870702382</v>
      </c>
      <c r="J32" s="387">
        <f t="shared" si="2"/>
        <v>1023208.1394297611</v>
      </c>
      <c r="K32" s="387">
        <f t="shared" si="2"/>
        <v>986340.9338225478</v>
      </c>
      <c r="L32" s="387">
        <f t="shared" si="2"/>
        <v>1325638.4597315218</v>
      </c>
      <c r="M32" s="387">
        <f t="shared" si="2"/>
        <v>1306473.0750390533</v>
      </c>
      <c r="N32" s="388">
        <f t="shared" si="2"/>
        <v>13796344.824910123</v>
      </c>
      <c r="O32" s="357"/>
    </row>
    <row r="33" spans="1:14" ht="15.75">
      <c r="A33" s="386"/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5"/>
    </row>
    <row r="34" spans="1:14" ht="15.75">
      <c r="A34" s="386" t="s">
        <v>605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5"/>
    </row>
    <row r="35" spans="1:14" ht="15.75">
      <c r="A35" s="383" t="s">
        <v>606</v>
      </c>
      <c r="B35" s="384">
        <v>60000</v>
      </c>
      <c r="C35" s="384">
        <v>123750</v>
      </c>
      <c r="D35" s="384">
        <v>62511.56</v>
      </c>
      <c r="E35" s="384">
        <v>89657.81</v>
      </c>
      <c r="F35" s="384">
        <v>66011.56</v>
      </c>
      <c r="G35" s="384">
        <v>26875</v>
      </c>
      <c r="H35" s="384">
        <v>76425</v>
      </c>
      <c r="I35" s="384">
        <v>0</v>
      </c>
      <c r="J35" s="384">
        <v>17500</v>
      </c>
      <c r="K35" s="384">
        <v>44166.67</v>
      </c>
      <c r="L35" s="384">
        <v>21666.67</v>
      </c>
      <c r="M35" s="384">
        <v>42666.67</v>
      </c>
      <c r="N35" s="385">
        <f>SUM(B35:M35)</f>
        <v>631230.9400000001</v>
      </c>
    </row>
    <row r="36" spans="1:14" ht="15.75">
      <c r="A36" s="383" t="s">
        <v>607</v>
      </c>
      <c r="B36" s="384">
        <v>500</v>
      </c>
      <c r="C36" s="384">
        <v>500</v>
      </c>
      <c r="D36" s="384">
        <v>1675</v>
      </c>
      <c r="E36" s="384">
        <v>9975</v>
      </c>
      <c r="F36" s="384">
        <v>9975</v>
      </c>
      <c r="G36" s="384">
        <v>10175</v>
      </c>
      <c r="H36" s="384">
        <v>6675</v>
      </c>
      <c r="I36" s="384">
        <v>1675</v>
      </c>
      <c r="J36" s="384">
        <v>1675</v>
      </c>
      <c r="K36" s="384">
        <v>1675</v>
      </c>
      <c r="L36" s="384">
        <v>500</v>
      </c>
      <c r="M36" s="384">
        <v>500</v>
      </c>
      <c r="N36" s="385">
        <f>SUM(B36:M36)</f>
        <v>45500</v>
      </c>
    </row>
    <row r="37" spans="1:14" ht="15.75">
      <c r="A37" s="383" t="s">
        <v>608</v>
      </c>
      <c r="B37" s="384">
        <v>791.6666666666666</v>
      </c>
      <c r="C37" s="384">
        <v>791.6666666666666</v>
      </c>
      <c r="D37" s="384">
        <v>791.6666666666666</v>
      </c>
      <c r="E37" s="384">
        <v>791.6666666666666</v>
      </c>
      <c r="F37" s="384">
        <v>25791.666666666668</v>
      </c>
      <c r="G37" s="384">
        <v>25791.666666666668</v>
      </c>
      <c r="H37" s="384">
        <v>4091.6666666666665</v>
      </c>
      <c r="I37" s="384">
        <v>4091.6666666666665</v>
      </c>
      <c r="J37" s="384">
        <v>4191.666666666667</v>
      </c>
      <c r="K37" s="384">
        <v>791.6666666666666</v>
      </c>
      <c r="L37" s="384">
        <v>791.6666666666666</v>
      </c>
      <c r="M37" s="384">
        <v>791.6666666666666</v>
      </c>
      <c r="N37" s="385">
        <f>SUM(B37:M37)</f>
        <v>69500.00000000001</v>
      </c>
    </row>
    <row r="38" spans="1:16" ht="15.75">
      <c r="A38" s="383" t="s">
        <v>609</v>
      </c>
      <c r="B38" s="384">
        <v>0</v>
      </c>
      <c r="C38" s="384">
        <v>62320.52364864865</v>
      </c>
      <c r="D38" s="384">
        <v>88628.32559121623</v>
      </c>
      <c r="E38" s="384">
        <v>102772.64569256756</v>
      </c>
      <c r="F38" s="384">
        <v>104753.4839527027</v>
      </c>
      <c r="G38" s="384">
        <v>94570.84037162163</v>
      </c>
      <c r="H38" s="384">
        <v>72223.39527027028</v>
      </c>
      <c r="I38" s="384">
        <v>49730.78547297297</v>
      </c>
      <c r="J38" s="384">
        <v>0</v>
      </c>
      <c r="K38" s="384">
        <v>0</v>
      </c>
      <c r="L38" s="384">
        <v>0</v>
      </c>
      <c r="M38" s="384">
        <v>0</v>
      </c>
      <c r="N38" s="385">
        <f>SUM(B38:M38)</f>
        <v>575000.0000000001</v>
      </c>
      <c r="O38" s="355"/>
      <c r="P38" s="356"/>
    </row>
    <row r="39" spans="1:14" ht="15.75">
      <c r="A39" s="386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5"/>
    </row>
    <row r="40" spans="1:14" ht="15.75">
      <c r="A40" s="386" t="s">
        <v>610</v>
      </c>
      <c r="B40" s="387">
        <f aca="true" t="shared" si="3" ref="B40:N40">SUM(B35:B39)</f>
        <v>61291.666666666664</v>
      </c>
      <c r="C40" s="387">
        <f t="shared" si="3"/>
        <v>187362.19031531533</v>
      </c>
      <c r="D40" s="387">
        <f t="shared" si="3"/>
        <v>153606.5522578829</v>
      </c>
      <c r="E40" s="387">
        <f t="shared" si="3"/>
        <v>203197.12235923423</v>
      </c>
      <c r="F40" s="387">
        <f t="shared" si="3"/>
        <v>206531.71061936938</v>
      </c>
      <c r="G40" s="387">
        <f t="shared" si="3"/>
        <v>157412.50703828828</v>
      </c>
      <c r="H40" s="387">
        <f t="shared" si="3"/>
        <v>159415.06193693695</v>
      </c>
      <c r="I40" s="387">
        <f t="shared" si="3"/>
        <v>55497.45213963964</v>
      </c>
      <c r="J40" s="387">
        <f t="shared" si="3"/>
        <v>23366.666666666668</v>
      </c>
      <c r="K40" s="387">
        <f t="shared" si="3"/>
        <v>46633.33666666666</v>
      </c>
      <c r="L40" s="387">
        <f t="shared" si="3"/>
        <v>22958.336666666666</v>
      </c>
      <c r="M40" s="387">
        <f t="shared" si="3"/>
        <v>43958.33666666666</v>
      </c>
      <c r="N40" s="388">
        <f t="shared" si="3"/>
        <v>1321230.9400000002</v>
      </c>
    </row>
    <row r="41" spans="1:14" ht="15.75">
      <c r="A41" s="383"/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5"/>
    </row>
    <row r="42" spans="1:14" ht="15.75">
      <c r="A42" s="386" t="s">
        <v>611</v>
      </c>
      <c r="B42" s="387">
        <f aca="true" t="shared" si="4" ref="B42:N42">B32+B40</f>
        <v>1424390.1106018366</v>
      </c>
      <c r="C42" s="387">
        <f t="shared" si="4"/>
        <v>1515102.821385286</v>
      </c>
      <c r="D42" s="387">
        <f t="shared" si="4"/>
        <v>1395789.7011008342</v>
      </c>
      <c r="E42" s="387">
        <f t="shared" si="4"/>
        <v>1090076.6076771524</v>
      </c>
      <c r="F42" s="387">
        <f t="shared" si="4"/>
        <v>1252621.4478211503</v>
      </c>
      <c r="G42" s="387">
        <f t="shared" si="4"/>
        <v>1253082.9785656426</v>
      </c>
      <c r="H42" s="387">
        <f t="shared" si="4"/>
        <v>1230487.1738587928</v>
      </c>
      <c r="I42" s="387">
        <f t="shared" si="4"/>
        <v>1177447.6392098777</v>
      </c>
      <c r="J42" s="387">
        <f t="shared" si="4"/>
        <v>1046574.8060964277</v>
      </c>
      <c r="K42" s="387">
        <f t="shared" si="4"/>
        <v>1032974.2704892145</v>
      </c>
      <c r="L42" s="387">
        <f t="shared" si="4"/>
        <v>1348596.7963981885</v>
      </c>
      <c r="M42" s="387">
        <f t="shared" si="4"/>
        <v>1350431.41170572</v>
      </c>
      <c r="N42" s="388">
        <f t="shared" si="4"/>
        <v>15117575.764910122</v>
      </c>
    </row>
    <row r="43" spans="1:14" ht="15.75">
      <c r="A43" s="383"/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5"/>
    </row>
    <row r="44" spans="1:14" ht="16.5" thickBot="1">
      <c r="A44" s="386" t="s">
        <v>612</v>
      </c>
      <c r="B44" s="389">
        <f aca="true" t="shared" si="5" ref="B44:M44">B25-B42</f>
        <v>-304770.5822310853</v>
      </c>
      <c r="C44" s="389">
        <f t="shared" si="5"/>
        <v>-1198371.9437148287</v>
      </c>
      <c r="D44" s="389">
        <f t="shared" si="5"/>
        <v>-887951.8920597956</v>
      </c>
      <c r="E44" s="389">
        <f t="shared" si="5"/>
        <v>460021.04691611417</v>
      </c>
      <c r="F44" s="389">
        <f t="shared" si="5"/>
        <v>-326617.28287949343</v>
      </c>
      <c r="G44" s="389">
        <f t="shared" si="5"/>
        <v>1644624.4298580918</v>
      </c>
      <c r="H44" s="389">
        <f t="shared" si="5"/>
        <v>385029.13768154243</v>
      </c>
      <c r="I44" s="389">
        <f t="shared" si="5"/>
        <v>-673148.0366155864</v>
      </c>
      <c r="J44" s="389">
        <f t="shared" si="5"/>
        <v>-506737.7980531907</v>
      </c>
      <c r="K44" s="389">
        <f t="shared" si="5"/>
        <v>598747.8805164825</v>
      </c>
      <c r="L44" s="389">
        <f t="shared" si="5"/>
        <v>-510820.3012084211</v>
      </c>
      <c r="M44" s="389">
        <f t="shared" si="5"/>
        <v>1271500.671936047</v>
      </c>
      <c r="N44" s="390">
        <f>SUM(B44:M44)</f>
        <v>-48494.66985412291</v>
      </c>
    </row>
    <row r="45" spans="1:14" ht="16.5" thickTop="1">
      <c r="A45" s="383"/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5"/>
    </row>
    <row r="46" spans="1:14" s="358" customFormat="1" ht="15.75">
      <c r="A46" s="386" t="s">
        <v>613</v>
      </c>
      <c r="B46" s="391">
        <v>5100000</v>
      </c>
      <c r="C46" s="391">
        <f aca="true" t="shared" si="6" ref="C46:M46">B48</f>
        <v>4795229.417768914</v>
      </c>
      <c r="D46" s="391">
        <f t="shared" si="6"/>
        <v>3596857.4740540856</v>
      </c>
      <c r="E46" s="391">
        <f t="shared" si="6"/>
        <v>2708905.58199429</v>
      </c>
      <c r="F46" s="391">
        <f t="shared" si="6"/>
        <v>3168926.628910404</v>
      </c>
      <c r="G46" s="391">
        <f t="shared" si="6"/>
        <v>2842309.3460309105</v>
      </c>
      <c r="H46" s="391">
        <f t="shared" si="6"/>
        <v>4486933.775889002</v>
      </c>
      <c r="I46" s="391">
        <f t="shared" si="6"/>
        <v>4871962.913570544</v>
      </c>
      <c r="J46" s="391">
        <f t="shared" si="6"/>
        <v>4198814.876954958</v>
      </c>
      <c r="K46" s="391">
        <f t="shared" si="6"/>
        <v>3692077.0789017673</v>
      </c>
      <c r="L46" s="391">
        <f t="shared" si="6"/>
        <v>4290824.95941825</v>
      </c>
      <c r="M46" s="391">
        <f t="shared" si="6"/>
        <v>3780004.658209829</v>
      </c>
      <c r="N46" s="385"/>
    </row>
    <row r="47" spans="1:14" s="10" customFormat="1" ht="15.75">
      <c r="A47" s="386"/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85"/>
    </row>
    <row r="48" spans="1:14" s="10" customFormat="1" ht="15.75">
      <c r="A48" s="386" t="s">
        <v>614</v>
      </c>
      <c r="B48" s="392">
        <f aca="true" t="shared" si="7" ref="B48:M48">B44+B46</f>
        <v>4795229.417768914</v>
      </c>
      <c r="C48" s="392">
        <f t="shared" si="7"/>
        <v>3596857.4740540856</v>
      </c>
      <c r="D48" s="392">
        <f t="shared" si="7"/>
        <v>2708905.58199429</v>
      </c>
      <c r="E48" s="392">
        <f t="shared" si="7"/>
        <v>3168926.628910404</v>
      </c>
      <c r="F48" s="392">
        <f t="shared" si="7"/>
        <v>2842309.3460309105</v>
      </c>
      <c r="G48" s="392">
        <f t="shared" si="7"/>
        <v>4486933.775889002</v>
      </c>
      <c r="H48" s="392">
        <f t="shared" si="7"/>
        <v>4871962.913570544</v>
      </c>
      <c r="I48" s="392">
        <f t="shared" si="7"/>
        <v>4198814.876954958</v>
      </c>
      <c r="J48" s="392">
        <f t="shared" si="7"/>
        <v>3692077.0789017673</v>
      </c>
      <c r="K48" s="392">
        <f t="shared" si="7"/>
        <v>4290824.95941825</v>
      </c>
      <c r="L48" s="392">
        <f t="shared" si="7"/>
        <v>3780004.658209829</v>
      </c>
      <c r="M48" s="392">
        <f t="shared" si="7"/>
        <v>5051505.330145876</v>
      </c>
      <c r="N48" s="385"/>
    </row>
    <row r="49" spans="1:14" s="10" customFormat="1" ht="15.75">
      <c r="A49" s="386"/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85"/>
    </row>
    <row r="50" spans="1:14" s="10" customFormat="1" ht="15.75">
      <c r="A50" s="386" t="s">
        <v>615</v>
      </c>
      <c r="B50" s="384">
        <v>1329000</v>
      </c>
      <c r="C50" s="384">
        <v>1329000</v>
      </c>
      <c r="D50" s="384">
        <v>1329000</v>
      </c>
      <c r="E50" s="384">
        <v>1329000</v>
      </c>
      <c r="F50" s="384">
        <v>1329000</v>
      </c>
      <c r="G50" s="384">
        <v>1329000</v>
      </c>
      <c r="H50" s="384">
        <v>1329000</v>
      </c>
      <c r="I50" s="384">
        <v>1329000</v>
      </c>
      <c r="J50" s="384">
        <v>1329000</v>
      </c>
      <c r="K50" s="384">
        <v>1329000</v>
      </c>
      <c r="L50" s="384">
        <v>1329000</v>
      </c>
      <c r="M50" s="384">
        <v>1329000</v>
      </c>
      <c r="N50" s="385"/>
    </row>
    <row r="51" spans="1:14" s="10" customFormat="1" ht="15.75">
      <c r="A51" s="386" t="s">
        <v>232</v>
      </c>
      <c r="B51" s="392">
        <f aca="true" t="shared" si="8" ref="B51:M51">SUM(B48:B50)</f>
        <v>6124229.417768914</v>
      </c>
      <c r="C51" s="392">
        <f t="shared" si="8"/>
        <v>4925857.474054085</v>
      </c>
      <c r="D51" s="392">
        <f t="shared" si="8"/>
        <v>4037905.58199429</v>
      </c>
      <c r="E51" s="392">
        <f t="shared" si="8"/>
        <v>4497926.628910404</v>
      </c>
      <c r="F51" s="392">
        <f t="shared" si="8"/>
        <v>4171309.3460309105</v>
      </c>
      <c r="G51" s="392">
        <f t="shared" si="8"/>
        <v>5815933.775889002</v>
      </c>
      <c r="H51" s="392">
        <f t="shared" si="8"/>
        <v>6200962.913570544</v>
      </c>
      <c r="I51" s="392">
        <f t="shared" si="8"/>
        <v>5527814.876954958</v>
      </c>
      <c r="J51" s="392">
        <f t="shared" si="8"/>
        <v>5021077.078901768</v>
      </c>
      <c r="K51" s="392">
        <f t="shared" si="8"/>
        <v>5619824.95941825</v>
      </c>
      <c r="L51" s="392">
        <f t="shared" si="8"/>
        <v>5109004.658209829</v>
      </c>
      <c r="M51" s="392">
        <f t="shared" si="8"/>
        <v>6380505.330145876</v>
      </c>
      <c r="N51" s="385"/>
    </row>
    <row r="52" spans="1:14" s="10" customFormat="1" ht="15.75">
      <c r="A52" s="386" t="s">
        <v>616</v>
      </c>
      <c r="B52" s="393">
        <f>('DETAILED SUMMARY'!$B$54*3/12)</f>
        <v>3886779.1360072554</v>
      </c>
      <c r="C52" s="393">
        <f>('DETAILED SUMMARY'!$B$54*3/12)</f>
        <v>3886779.1360072554</v>
      </c>
      <c r="D52" s="393">
        <f>('DETAILED SUMMARY'!$B$54*3/12)</f>
        <v>3886779.1360072554</v>
      </c>
      <c r="E52" s="393">
        <f>('DETAILED SUMMARY'!$B$54*3/12)</f>
        <v>3886779.1360072554</v>
      </c>
      <c r="F52" s="393">
        <f>('DETAILED SUMMARY'!$B$54*3/12)</f>
        <v>3886779.1360072554</v>
      </c>
      <c r="G52" s="393">
        <f>('DETAILED SUMMARY'!$B$54*3/12)</f>
        <v>3886779.1360072554</v>
      </c>
      <c r="H52" s="393">
        <f>('DETAILED SUMMARY'!$B$54*3/12)</f>
        <v>3886779.1360072554</v>
      </c>
      <c r="I52" s="393">
        <f>('DETAILED SUMMARY'!$B$54*3/12)</f>
        <v>3886779.1360072554</v>
      </c>
      <c r="J52" s="393">
        <f>('DETAILED SUMMARY'!$B$54*3/12)</f>
        <v>3886779.1360072554</v>
      </c>
      <c r="K52" s="393">
        <f>('DETAILED SUMMARY'!$B$54*3/12)</f>
        <v>3886779.1360072554</v>
      </c>
      <c r="L52" s="393">
        <f>('DETAILED SUMMARY'!$B$54*3/12)</f>
        <v>3886779.1360072554</v>
      </c>
      <c r="M52" s="393">
        <f>('DETAILED SUMMARY'!$B$54*3/12)</f>
        <v>3886779.1360072554</v>
      </c>
      <c r="N52" s="385"/>
    </row>
    <row r="53" spans="1:14" s="10" customFormat="1" ht="15.75">
      <c r="A53" s="386" t="s">
        <v>617</v>
      </c>
      <c r="B53" s="391">
        <f aca="true" t="shared" si="9" ref="B53:M53">IF(B51&gt;B52,"",B51-B52)</f>
      </c>
      <c r="C53" s="391">
        <f t="shared" si="9"/>
      </c>
      <c r="D53" s="391">
        <f t="shared" si="9"/>
      </c>
      <c r="E53" s="391">
        <f t="shared" si="9"/>
      </c>
      <c r="F53" s="391">
        <f t="shared" si="9"/>
      </c>
      <c r="G53" s="391">
        <f t="shared" si="9"/>
      </c>
      <c r="H53" s="391">
        <f t="shared" si="9"/>
      </c>
      <c r="I53" s="391">
        <f t="shared" si="9"/>
      </c>
      <c r="J53" s="391">
        <f t="shared" si="9"/>
      </c>
      <c r="K53" s="391">
        <f t="shared" si="9"/>
      </c>
      <c r="L53" s="391">
        <f t="shared" si="9"/>
      </c>
      <c r="M53" s="391">
        <f t="shared" si="9"/>
      </c>
      <c r="N53" s="385"/>
    </row>
    <row r="54" spans="1:14" ht="15.75">
      <c r="A54" s="394" t="s">
        <v>618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6"/>
    </row>
  </sheetData>
  <printOptions/>
  <pageMargins left="0.75" right="0.24" top="0.63" bottom="0.55" header="0.5" footer="0.5"/>
  <pageSetup fitToHeight="1" fitToWidth="1" horizontalDpi="600" verticalDpi="600" orientation="landscape" paperSize="9" scale="61" r:id="rId1"/>
  <headerFooter alignWithMargins="0">
    <oddHeader>&amp;C&amp;F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F36"/>
  <sheetViews>
    <sheetView zoomScale="90" zoomScaleNormal="90" workbookViewId="0" topLeftCell="A1">
      <selection activeCell="L22" sqref="L22"/>
    </sheetView>
  </sheetViews>
  <sheetFormatPr defaultColWidth="9.140625" defaultRowHeight="12.75"/>
  <cols>
    <col min="1" max="1" width="22.421875" style="1" bestFit="1" customWidth="1"/>
    <col min="2" max="2" width="47.140625" style="2" customWidth="1"/>
    <col min="3" max="3" width="5.28125" style="2" customWidth="1"/>
    <col min="4" max="4" width="11.00390625" style="13" customWidth="1"/>
    <col min="5" max="5" width="3.421875" style="13" customWidth="1"/>
    <col min="6" max="6" width="10.57421875" style="14" customWidth="1"/>
    <col min="7" max="16384" width="9.140625" style="2" customWidth="1"/>
  </cols>
  <sheetData>
    <row r="1" spans="1:6" ht="12.75">
      <c r="A1" s="126" t="s">
        <v>34</v>
      </c>
      <c r="F1" s="14" t="s">
        <v>313</v>
      </c>
    </row>
    <row r="2" ht="12.75">
      <c r="A2" s="126" t="str">
        <f>'DETAILED SUMMARY'!A3</f>
        <v>BUDGET FOR YEAR TO 31 MARCH 2010</v>
      </c>
    </row>
    <row r="3" ht="12.75">
      <c r="A3" s="233" t="s">
        <v>434</v>
      </c>
    </row>
    <row r="4" spans="1:6" ht="12.75">
      <c r="A4" s="189"/>
      <c r="B4" s="145"/>
      <c r="D4" s="234" t="s">
        <v>38</v>
      </c>
      <c r="E4" s="235"/>
      <c r="F4" s="234" t="s">
        <v>38</v>
      </c>
    </row>
    <row r="5" spans="4:6" ht="12.75">
      <c r="D5" s="236" t="s">
        <v>279</v>
      </c>
      <c r="E5" s="237"/>
      <c r="F5" s="236" t="s">
        <v>494</v>
      </c>
    </row>
    <row r="6" spans="4:6" ht="12.75">
      <c r="D6" s="238"/>
      <c r="E6" s="239"/>
      <c r="F6" s="238"/>
    </row>
    <row r="7" spans="1:6" ht="12.75">
      <c r="A7" s="1" t="s">
        <v>582</v>
      </c>
      <c r="D7" s="240" t="s">
        <v>40</v>
      </c>
      <c r="E7" s="241"/>
      <c r="F7" s="240" t="s">
        <v>40</v>
      </c>
    </row>
    <row r="8" spans="4:6" ht="12.75">
      <c r="D8" s="242"/>
      <c r="F8" s="242"/>
    </row>
    <row r="9" spans="1:6" ht="15" customHeight="1">
      <c r="A9" s="1" t="s">
        <v>74</v>
      </c>
      <c r="B9" s="243" t="s">
        <v>327</v>
      </c>
      <c r="C9" s="243"/>
      <c r="D9" s="244">
        <v>50</v>
      </c>
      <c r="E9" s="244"/>
      <c r="F9" s="244">
        <v>53</v>
      </c>
    </row>
    <row r="10" spans="2:6" ht="15" customHeight="1">
      <c r="B10" s="243" t="s">
        <v>328</v>
      </c>
      <c r="C10" s="243"/>
      <c r="D10" s="244">
        <v>50</v>
      </c>
      <c r="E10" s="244"/>
      <c r="F10" s="244">
        <v>53</v>
      </c>
    </row>
    <row r="11" spans="2:6" ht="15" customHeight="1">
      <c r="B11" s="243" t="s">
        <v>281</v>
      </c>
      <c r="C11" s="243"/>
      <c r="D11" s="244">
        <v>110</v>
      </c>
      <c r="E11" s="244"/>
      <c r="F11" s="244">
        <v>115</v>
      </c>
    </row>
    <row r="12" spans="2:6" ht="15" customHeight="1">
      <c r="B12" s="243" t="s">
        <v>282</v>
      </c>
      <c r="C12" s="243"/>
      <c r="D12" s="244">
        <v>72</v>
      </c>
      <c r="E12" s="244"/>
      <c r="F12" s="244">
        <v>76</v>
      </c>
    </row>
    <row r="13" spans="2:6" ht="15" customHeight="1">
      <c r="B13" s="243" t="s">
        <v>374</v>
      </c>
      <c r="C13" s="243"/>
      <c r="D13" s="244">
        <v>36</v>
      </c>
      <c r="E13" s="244"/>
      <c r="F13" s="244">
        <v>38</v>
      </c>
    </row>
    <row r="14" spans="2:6" ht="15" customHeight="1">
      <c r="B14" s="243" t="s">
        <v>329</v>
      </c>
      <c r="C14" s="243"/>
      <c r="D14" s="244">
        <v>400</v>
      </c>
      <c r="E14" s="244"/>
      <c r="F14" s="244">
        <v>420</v>
      </c>
    </row>
    <row r="15" spans="2:6" ht="15" customHeight="1">
      <c r="B15" s="243" t="s">
        <v>330</v>
      </c>
      <c r="C15" s="243"/>
      <c r="D15" s="244">
        <v>400</v>
      </c>
      <c r="E15" s="244"/>
      <c r="F15" s="244">
        <v>420</v>
      </c>
    </row>
    <row r="16" spans="2:6" ht="15" customHeight="1">
      <c r="B16" s="145"/>
      <c r="C16" s="145"/>
      <c r="D16" s="245"/>
      <c r="E16" s="246"/>
      <c r="F16" s="245"/>
    </row>
    <row r="17" spans="1:6" ht="15" customHeight="1">
      <c r="A17" s="1" t="s">
        <v>331</v>
      </c>
      <c r="B17" s="247" t="s">
        <v>332</v>
      </c>
      <c r="C17" s="243"/>
      <c r="D17" s="248"/>
      <c r="E17" s="244"/>
      <c r="F17" s="248"/>
    </row>
    <row r="18" spans="1:6" ht="15" customHeight="1">
      <c r="A18" s="1" t="s">
        <v>333</v>
      </c>
      <c r="B18" s="243" t="s">
        <v>127</v>
      </c>
      <c r="C18" s="243"/>
      <c r="D18" s="248">
        <v>300</v>
      </c>
      <c r="E18" s="244"/>
      <c r="F18" s="248">
        <v>310</v>
      </c>
    </row>
    <row r="19" spans="2:6" ht="15" customHeight="1">
      <c r="B19" s="243" t="s">
        <v>557</v>
      </c>
      <c r="C19" s="243"/>
      <c r="D19" s="248">
        <v>140</v>
      </c>
      <c r="E19" s="244"/>
      <c r="F19" s="248">
        <v>180</v>
      </c>
    </row>
    <row r="20" spans="2:6" ht="15" customHeight="1">
      <c r="B20" s="243" t="s">
        <v>335</v>
      </c>
      <c r="C20" s="243"/>
      <c r="D20" s="248">
        <v>140</v>
      </c>
      <c r="E20" s="244"/>
      <c r="F20" s="248">
        <v>180</v>
      </c>
    </row>
    <row r="21" spans="2:6" ht="15" customHeight="1">
      <c r="B21" s="243" t="s">
        <v>336</v>
      </c>
      <c r="C21" s="243"/>
      <c r="D21" s="249">
        <v>560</v>
      </c>
      <c r="E21" s="250"/>
      <c r="F21" s="249">
        <v>580</v>
      </c>
    </row>
    <row r="22" spans="2:6" ht="15" customHeight="1">
      <c r="B22" s="251" t="s">
        <v>419</v>
      </c>
      <c r="C22" s="251"/>
      <c r="D22" s="252">
        <v>140</v>
      </c>
      <c r="E22" s="253"/>
      <c r="F22" s="252">
        <v>140</v>
      </c>
    </row>
    <row r="23" spans="2:6" ht="15" customHeight="1">
      <c r="B23" s="251"/>
      <c r="C23" s="251"/>
      <c r="D23" s="254"/>
      <c r="E23" s="255"/>
      <c r="F23" s="254"/>
    </row>
    <row r="24" spans="2:6" ht="15" customHeight="1">
      <c r="B24" s="256" t="s">
        <v>338</v>
      </c>
      <c r="C24" s="243"/>
      <c r="D24" s="248"/>
      <c r="E24" s="244"/>
      <c r="F24" s="248"/>
    </row>
    <row r="25" spans="1:6" ht="15" customHeight="1">
      <c r="A25" s="257"/>
      <c r="B25" s="243" t="s">
        <v>564</v>
      </c>
      <c r="C25" s="243"/>
      <c r="D25" s="248">
        <v>70</v>
      </c>
      <c r="E25" s="244"/>
      <c r="F25" s="248">
        <v>72</v>
      </c>
    </row>
    <row r="26" spans="2:6" ht="15" customHeight="1">
      <c r="B26" s="243" t="s">
        <v>558</v>
      </c>
      <c r="C26" s="243"/>
      <c r="D26" s="248">
        <v>70</v>
      </c>
      <c r="E26" s="244"/>
      <c r="F26" s="248">
        <v>72</v>
      </c>
    </row>
    <row r="27" spans="2:6" ht="15" customHeight="1">
      <c r="B27" s="243" t="s">
        <v>559</v>
      </c>
      <c r="C27" s="243"/>
      <c r="D27" s="248">
        <v>70</v>
      </c>
      <c r="E27" s="244"/>
      <c r="F27" s="248">
        <v>72</v>
      </c>
    </row>
    <row r="28" spans="2:6" ht="12.75" hidden="1">
      <c r="B28" s="258" t="s">
        <v>343</v>
      </c>
      <c r="D28" s="75"/>
      <c r="E28" s="75"/>
      <c r="F28" s="44"/>
    </row>
    <row r="29" spans="2:6" ht="12.75" hidden="1">
      <c r="B29" s="258" t="s">
        <v>344</v>
      </c>
      <c r="D29" s="75"/>
      <c r="E29" s="75"/>
      <c r="F29" s="44"/>
    </row>
    <row r="30" spans="1:6" ht="12.75" hidden="1">
      <c r="A30" s="1" t="s">
        <v>273</v>
      </c>
      <c r="D30" s="75"/>
      <c r="E30" s="75"/>
      <c r="F30" s="44"/>
    </row>
    <row r="31" spans="4:6" ht="12.75" hidden="1">
      <c r="D31" s="77"/>
      <c r="E31" s="77"/>
      <c r="F31" s="12"/>
    </row>
    <row r="32" spans="1:6" ht="12.75" hidden="1">
      <c r="A32" s="2" t="s">
        <v>345</v>
      </c>
      <c r="B32" s="2" t="s">
        <v>14</v>
      </c>
      <c r="D32" s="75" t="e">
        <f>#REF!*(1+#REF!)</f>
        <v>#REF!</v>
      </c>
      <c r="E32" s="75"/>
      <c r="F32" s="44" t="e">
        <f>D32*(1+#REF!)</f>
        <v>#REF!</v>
      </c>
    </row>
    <row r="33" spans="1:6" ht="12.75" hidden="1">
      <c r="A33" s="2" t="s">
        <v>347</v>
      </c>
      <c r="B33" s="2" t="s">
        <v>452</v>
      </c>
      <c r="D33" s="75" t="e">
        <f>#REF!*(1+#REF!)</f>
        <v>#REF!</v>
      </c>
      <c r="E33" s="75"/>
      <c r="F33" s="44" t="e">
        <f>D33*(1+#REF!)</f>
        <v>#REF!</v>
      </c>
    </row>
    <row r="34" spans="2:6" ht="12.75" hidden="1">
      <c r="B34" s="2" t="s">
        <v>349</v>
      </c>
      <c r="D34" s="75" t="e">
        <f>#REF!*(1+#REF!)</f>
        <v>#REF!</v>
      </c>
      <c r="E34" s="75"/>
      <c r="F34" s="44" t="e">
        <f>D34*(1+#REF!)</f>
        <v>#REF!</v>
      </c>
    </row>
    <row r="35" spans="2:6" ht="12.75" hidden="1">
      <c r="B35" s="2" t="s">
        <v>350</v>
      </c>
      <c r="D35" s="75">
        <f>1254000/176</f>
        <v>7125</v>
      </c>
      <c r="E35" s="75"/>
      <c r="F35" s="44" t="e">
        <f>D35*(1+#REF!)</f>
        <v>#REF!</v>
      </c>
    </row>
    <row r="36" spans="2:6" ht="12.75">
      <c r="B36" s="243" t="s">
        <v>419</v>
      </c>
      <c r="C36" s="243"/>
      <c r="D36" s="250">
        <v>20</v>
      </c>
      <c r="E36" s="250"/>
      <c r="F36" s="249">
        <v>20</v>
      </c>
    </row>
    <row r="46" ht="12.75"/>
    <row r="47" ht="12.75"/>
    <row r="48" ht="12.75"/>
    <row r="49" ht="12.75"/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3"/>
  <headerFooter alignWithMargins="0">
    <oddHeader>&amp;C&amp;F</oddHeader>
    <oddFooter>&amp;CPage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Q39"/>
  <sheetViews>
    <sheetView workbookViewId="0" topLeftCell="A1">
      <pane xSplit="1" ySplit="7" topLeftCell="E14" activePane="bottomRight" state="frozen"/>
      <selection pane="topLeft" activeCell="M23" sqref="M23"/>
      <selection pane="topRight" activeCell="M23" sqref="M23"/>
      <selection pane="bottomLeft" activeCell="M23" sqref="M23"/>
      <selection pane="bottomRight" activeCell="R17" sqref="R17"/>
    </sheetView>
  </sheetViews>
  <sheetFormatPr defaultColWidth="9.140625" defaultRowHeight="12.75"/>
  <cols>
    <col min="1" max="1" width="23.7109375" style="2" bestFit="1" customWidth="1"/>
    <col min="2" max="2" width="1.8515625" style="2" customWidth="1"/>
    <col min="3" max="3" width="11.28125" style="2" bestFit="1" customWidth="1"/>
    <col min="4" max="4" width="1.1484375" style="2" customWidth="1"/>
    <col min="5" max="5" width="12.7109375" style="2" bestFit="1" customWidth="1"/>
    <col min="6" max="6" width="9.00390625" style="262" customWidth="1"/>
    <col min="7" max="7" width="12.7109375" style="2" bestFit="1" customWidth="1"/>
    <col min="8" max="8" width="9.7109375" style="295" customWidth="1"/>
    <col min="9" max="9" width="13.8515625" style="295" customWidth="1"/>
    <col min="10" max="10" width="15.421875" style="262" customWidth="1"/>
    <col min="11" max="11" width="1.1484375" style="2" customWidth="1"/>
    <col min="12" max="12" width="12.57421875" style="2" customWidth="1"/>
    <col min="13" max="13" width="12.8515625" style="2" customWidth="1"/>
    <col min="14" max="14" width="7.8515625" style="262" customWidth="1"/>
    <col min="15" max="15" width="11.28125" style="2" bestFit="1" customWidth="1"/>
    <col min="16" max="16" width="8.8515625" style="296" customWidth="1"/>
    <col min="17" max="17" width="15.00390625" style="262" customWidth="1"/>
    <col min="18" max="16384" width="9.140625" style="2" customWidth="1"/>
  </cols>
  <sheetData>
    <row r="1" ht="12.75">
      <c r="A1" s="186" t="s">
        <v>381</v>
      </c>
    </row>
    <row r="2" ht="12.75">
      <c r="A2" s="186" t="s">
        <v>312</v>
      </c>
    </row>
    <row r="3" ht="12.75">
      <c r="A3" s="186" t="s">
        <v>566</v>
      </c>
    </row>
    <row r="4" spans="3:15" ht="12.75">
      <c r="C4" s="262" t="s">
        <v>382</v>
      </c>
      <c r="E4" s="262" t="s">
        <v>383</v>
      </c>
      <c r="J4" s="262" t="s">
        <v>384</v>
      </c>
      <c r="L4" s="2" t="s">
        <v>385</v>
      </c>
      <c r="M4" s="262" t="s">
        <v>386</v>
      </c>
      <c r="O4" s="262" t="s">
        <v>387</v>
      </c>
    </row>
    <row r="5" spans="3:16" ht="12.75">
      <c r="C5" s="297"/>
      <c r="D5" s="297"/>
      <c r="E5" s="420" t="s">
        <v>375</v>
      </c>
      <c r="F5" s="421"/>
      <c r="G5" s="421"/>
      <c r="H5" s="421"/>
      <c r="I5" s="421"/>
      <c r="J5" s="422"/>
      <c r="K5" s="297"/>
      <c r="L5" s="297"/>
      <c r="M5" s="297"/>
      <c r="N5" s="298"/>
      <c r="O5" s="297"/>
      <c r="P5" s="299"/>
    </row>
    <row r="6" spans="3:16" s="300" customFormat="1" ht="36.75" customHeight="1">
      <c r="C6" s="301" t="s">
        <v>388</v>
      </c>
      <c r="D6" s="301"/>
      <c r="E6" s="423" t="s">
        <v>376</v>
      </c>
      <c r="F6" s="424"/>
      <c r="G6" s="423" t="s">
        <v>377</v>
      </c>
      <c r="H6" s="424"/>
      <c r="I6" s="302" t="s">
        <v>281</v>
      </c>
      <c r="J6" s="302" t="s">
        <v>565</v>
      </c>
      <c r="K6" s="301"/>
      <c r="L6" s="301" t="s">
        <v>389</v>
      </c>
      <c r="M6" s="301" t="s">
        <v>324</v>
      </c>
      <c r="N6" s="301" t="s">
        <v>390</v>
      </c>
      <c r="O6" s="301" t="s">
        <v>378</v>
      </c>
      <c r="P6" s="303" t="s">
        <v>391</v>
      </c>
    </row>
    <row r="7" spans="3:17" ht="12.75">
      <c r="C7" s="304"/>
      <c r="D7" s="304"/>
      <c r="E7" s="304" t="s">
        <v>624</v>
      </c>
      <c r="F7" s="305" t="s">
        <v>392</v>
      </c>
      <c r="G7" s="304" t="s">
        <v>624</v>
      </c>
      <c r="H7" s="306" t="s">
        <v>481</v>
      </c>
      <c r="I7" s="305"/>
      <c r="J7" s="267"/>
      <c r="K7" s="304"/>
      <c r="L7" s="304"/>
      <c r="M7" s="304"/>
      <c r="N7" s="305" t="s">
        <v>393</v>
      </c>
      <c r="O7" s="304"/>
      <c r="P7" s="307" t="s">
        <v>41</v>
      </c>
      <c r="Q7" s="262" t="s">
        <v>394</v>
      </c>
    </row>
    <row r="8" spans="3:16" ht="12.75">
      <c r="C8" s="308"/>
      <c r="D8" s="308"/>
      <c r="E8" s="308"/>
      <c r="F8" s="309"/>
      <c r="G8" s="308"/>
      <c r="H8" s="310"/>
      <c r="I8" s="311"/>
      <c r="J8" s="342"/>
      <c r="K8" s="308"/>
      <c r="L8" s="308"/>
      <c r="M8" s="308"/>
      <c r="N8" s="311"/>
      <c r="O8" s="308"/>
      <c r="P8" s="312"/>
    </row>
    <row r="9" spans="1:16" ht="12.75">
      <c r="A9" s="2" t="s">
        <v>280</v>
      </c>
      <c r="C9" s="313">
        <v>2378</v>
      </c>
      <c r="D9" s="313"/>
      <c r="E9" s="313">
        <v>182</v>
      </c>
      <c r="F9" s="316">
        <f>E9/C9</f>
        <v>0.07653490328006729</v>
      </c>
      <c r="G9" s="313">
        <v>5</v>
      </c>
      <c r="H9" s="327">
        <f>G9/C9</f>
        <v>0.0021026072329688814</v>
      </c>
      <c r="I9" s="314">
        <v>30</v>
      </c>
      <c r="J9" s="343">
        <v>0</v>
      </c>
      <c r="K9" s="313"/>
      <c r="L9" s="313">
        <f>E9+G9+I9</f>
        <v>217</v>
      </c>
      <c r="M9" s="315">
        <v>-59</v>
      </c>
      <c r="N9" s="316">
        <f>M9/C9</f>
        <v>-0.0248107653490328</v>
      </c>
      <c r="O9" s="313">
        <f>C9+L9+M9</f>
        <v>2536</v>
      </c>
      <c r="P9" s="317">
        <f>(O9-C9)/C9</f>
        <v>0.06644238856181665</v>
      </c>
    </row>
    <row r="10" spans="3:16" ht="12.75">
      <c r="C10" s="313"/>
      <c r="D10" s="313"/>
      <c r="E10" s="313"/>
      <c r="F10" s="318"/>
      <c r="G10" s="313"/>
      <c r="H10" s="327"/>
      <c r="I10" s="314"/>
      <c r="J10" s="343"/>
      <c r="K10" s="313"/>
      <c r="L10" s="313"/>
      <c r="M10" s="315"/>
      <c r="N10" s="314"/>
      <c r="O10" s="313"/>
      <c r="P10" s="312"/>
    </row>
    <row r="11" spans="1:16" ht="12.75">
      <c r="A11" s="2" t="s">
        <v>135</v>
      </c>
      <c r="C11" s="313">
        <v>12510</v>
      </c>
      <c r="D11" s="313"/>
      <c r="E11" s="313">
        <v>415</v>
      </c>
      <c r="F11" s="316">
        <f>E11/C11</f>
        <v>0.03317346123101519</v>
      </c>
      <c r="G11" s="313">
        <v>23</v>
      </c>
      <c r="H11" s="327">
        <f>G11/C11</f>
        <v>0.0018385291766586731</v>
      </c>
      <c r="I11" s="314">
        <v>156</v>
      </c>
      <c r="J11" s="343">
        <v>0</v>
      </c>
      <c r="K11" s="313"/>
      <c r="L11" s="313">
        <f>E11+G11+I11</f>
        <v>594</v>
      </c>
      <c r="M11" s="315">
        <v>-313</v>
      </c>
      <c r="N11" s="316">
        <f>M11/C11</f>
        <v>-0.025019984012789768</v>
      </c>
      <c r="O11" s="313">
        <f>C11+L11+M11</f>
        <v>12791</v>
      </c>
      <c r="P11" s="317">
        <f>(O11-C11)/C11</f>
        <v>0.02246203037569944</v>
      </c>
    </row>
    <row r="12" spans="3:16" ht="12.75">
      <c r="C12" s="313"/>
      <c r="D12" s="313"/>
      <c r="E12" s="313"/>
      <c r="F12" s="318"/>
      <c r="G12" s="313"/>
      <c r="H12" s="327"/>
      <c r="I12" s="314"/>
      <c r="J12" s="343"/>
      <c r="K12" s="313"/>
      <c r="L12" s="313"/>
      <c r="M12" s="315"/>
      <c r="N12" s="314"/>
      <c r="O12" s="313"/>
      <c r="P12" s="312"/>
    </row>
    <row r="13" spans="1:16" ht="12.75">
      <c r="A13" s="2" t="s">
        <v>116</v>
      </c>
      <c r="C13" s="313">
        <v>3975</v>
      </c>
      <c r="D13" s="313"/>
      <c r="E13" s="313">
        <v>127</v>
      </c>
      <c r="F13" s="316">
        <f>E13/C13</f>
        <v>0.031949685534591196</v>
      </c>
      <c r="G13" s="313">
        <v>42</v>
      </c>
      <c r="H13" s="327">
        <f>G13/C13</f>
        <v>0.010566037735849057</v>
      </c>
      <c r="I13" s="314">
        <v>129</v>
      </c>
      <c r="J13" s="343">
        <v>0</v>
      </c>
      <c r="K13" s="313"/>
      <c r="L13" s="313">
        <f>E13+G13+I13</f>
        <v>298</v>
      </c>
      <c r="M13" s="315">
        <v>-259</v>
      </c>
      <c r="N13" s="316">
        <f>M13/C13</f>
        <v>-0.06515723270440252</v>
      </c>
      <c r="O13" s="313">
        <f>C13+L13+M13</f>
        <v>4014</v>
      </c>
      <c r="P13" s="317">
        <f>(O13-C13)/C13</f>
        <v>0.009811320754716982</v>
      </c>
    </row>
    <row r="14" spans="3:16" ht="12.75">
      <c r="C14" s="313"/>
      <c r="D14" s="313"/>
      <c r="E14" s="313"/>
      <c r="F14" s="318"/>
      <c r="G14" s="313"/>
      <c r="H14" s="327"/>
      <c r="I14" s="314"/>
      <c r="J14" s="343"/>
      <c r="K14" s="313"/>
      <c r="L14" s="313"/>
      <c r="M14" s="315"/>
      <c r="N14" s="314"/>
      <c r="O14" s="313"/>
      <c r="P14" s="312"/>
    </row>
    <row r="15" spans="1:16" ht="12.75">
      <c r="A15" s="2" t="s">
        <v>117</v>
      </c>
      <c r="C15" s="313">
        <v>6312</v>
      </c>
      <c r="D15" s="313"/>
      <c r="E15" s="313">
        <v>373</v>
      </c>
      <c r="F15" s="316">
        <f>E15/C15</f>
        <v>0.059093789607097595</v>
      </c>
      <c r="G15" s="313">
        <v>85</v>
      </c>
      <c r="H15" s="327">
        <f>G15/C15</f>
        <v>0.013466413181242079</v>
      </c>
      <c r="I15" s="314">
        <v>79</v>
      </c>
      <c r="J15" s="343">
        <v>0</v>
      </c>
      <c r="K15" s="313"/>
      <c r="L15" s="313">
        <f>E15+G15+I15</f>
        <v>537</v>
      </c>
      <c r="M15" s="315">
        <v>-158</v>
      </c>
      <c r="N15" s="316">
        <f>M15/C15</f>
        <v>-0.025031685678073512</v>
      </c>
      <c r="O15" s="313">
        <f>C15+L15+M15</f>
        <v>6691</v>
      </c>
      <c r="P15" s="317">
        <f>(O15-C15)/C15</f>
        <v>0.06004435994930291</v>
      </c>
    </row>
    <row r="16" spans="3:16" ht="12.75">
      <c r="C16" s="313"/>
      <c r="D16" s="313"/>
      <c r="E16" s="313"/>
      <c r="F16" s="318"/>
      <c r="G16" s="313"/>
      <c r="H16" s="327"/>
      <c r="I16" s="314"/>
      <c r="J16" s="343"/>
      <c r="K16" s="313"/>
      <c r="L16" s="313"/>
      <c r="M16" s="315"/>
      <c r="N16" s="314"/>
      <c r="O16" s="313"/>
      <c r="P16" s="312"/>
    </row>
    <row r="17" spans="1:16" ht="12.75">
      <c r="A17" s="2" t="s">
        <v>323</v>
      </c>
      <c r="C17" s="313">
        <v>23529</v>
      </c>
      <c r="D17" s="313"/>
      <c r="E17" s="313">
        <v>668</v>
      </c>
      <c r="F17" s="316">
        <f>E17/C17</f>
        <v>0.02839049683369459</v>
      </c>
      <c r="G17" s="313">
        <v>300</v>
      </c>
      <c r="H17" s="327">
        <f>G17/C17</f>
        <v>0.012750223128904756</v>
      </c>
      <c r="I17" s="314">
        <v>765</v>
      </c>
      <c r="J17" s="343">
        <v>0</v>
      </c>
      <c r="K17" s="313"/>
      <c r="L17" s="313">
        <f>E17+G17+I17</f>
        <v>1733</v>
      </c>
      <c r="M17" s="315">
        <v>-1530</v>
      </c>
      <c r="N17" s="316">
        <f>M17/C17</f>
        <v>-0.06502613795741426</v>
      </c>
      <c r="O17" s="313">
        <f>C17+L17+M17</f>
        <v>23732</v>
      </c>
      <c r="P17" s="317">
        <f>(O17-C17)/C17</f>
        <v>0.008627650983892218</v>
      </c>
    </row>
    <row r="18" spans="3:16" ht="12.75">
      <c r="C18" s="313"/>
      <c r="D18" s="313"/>
      <c r="E18" s="313"/>
      <c r="F18" s="318"/>
      <c r="G18" s="313"/>
      <c r="H18" s="327"/>
      <c r="I18" s="314"/>
      <c r="J18" s="343"/>
      <c r="K18" s="313"/>
      <c r="L18" s="313"/>
      <c r="M18" s="315"/>
      <c r="N18" s="314"/>
      <c r="O18" s="313"/>
      <c r="P18" s="312"/>
    </row>
    <row r="19" spans="1:16" ht="12.75">
      <c r="A19" s="2" t="s">
        <v>379</v>
      </c>
      <c r="C19" s="313">
        <v>1287</v>
      </c>
      <c r="D19" s="313"/>
      <c r="E19" s="313">
        <v>50</v>
      </c>
      <c r="F19" s="316">
        <f>E19/C19</f>
        <v>0.03885003885003885</v>
      </c>
      <c r="G19" s="313">
        <v>2</v>
      </c>
      <c r="H19" s="327">
        <f>G19/C19</f>
        <v>0.001554001554001554</v>
      </c>
      <c r="I19" s="314">
        <v>42</v>
      </c>
      <c r="J19" s="343">
        <v>0</v>
      </c>
      <c r="K19" s="313"/>
      <c r="L19" s="313">
        <f>E19+G19+I19</f>
        <v>94</v>
      </c>
      <c r="M19" s="315">
        <v>-84</v>
      </c>
      <c r="N19" s="316">
        <f>M19/C19</f>
        <v>-0.06526806526806526</v>
      </c>
      <c r="O19" s="313">
        <f>C19+L19+M19</f>
        <v>1297</v>
      </c>
      <c r="P19" s="317">
        <f>(O19-C19)/C19</f>
        <v>0.00777000777000777</v>
      </c>
    </row>
    <row r="20" spans="3:16" ht="12.75">
      <c r="C20" s="313"/>
      <c r="D20" s="313"/>
      <c r="E20" s="313"/>
      <c r="F20" s="318"/>
      <c r="G20" s="313"/>
      <c r="H20" s="327"/>
      <c r="I20" s="314"/>
      <c r="J20" s="343"/>
      <c r="K20" s="313"/>
      <c r="L20" s="313"/>
      <c r="M20" s="315"/>
      <c r="N20" s="314"/>
      <c r="O20" s="313"/>
      <c r="P20" s="312"/>
    </row>
    <row r="21" spans="1:16" ht="12.75">
      <c r="A21" s="2" t="s">
        <v>118</v>
      </c>
      <c r="C21" s="313">
        <v>30700</v>
      </c>
      <c r="D21" s="313"/>
      <c r="E21" s="313">
        <v>1598</v>
      </c>
      <c r="F21" s="316">
        <f>E21/C21</f>
        <v>0.05205211726384365</v>
      </c>
      <c r="G21" s="313">
        <v>235</v>
      </c>
      <c r="H21" s="327">
        <f>G21/C21</f>
        <v>0.00765472312703583</v>
      </c>
      <c r="I21" s="314">
        <v>998</v>
      </c>
      <c r="J21" s="343">
        <v>0</v>
      </c>
      <c r="K21" s="313"/>
      <c r="L21" s="313">
        <f>E21+G21+I21</f>
        <v>2831</v>
      </c>
      <c r="M21" s="315">
        <v>-1998</v>
      </c>
      <c r="N21" s="316">
        <f>M21/C21</f>
        <v>-0.0650814332247557</v>
      </c>
      <c r="O21" s="313">
        <f>C21+L21+M21</f>
        <v>31533</v>
      </c>
      <c r="P21" s="317">
        <f>(O21-C21)/C21</f>
        <v>0.027133550488599348</v>
      </c>
    </row>
    <row r="22" spans="3:16" ht="12.75">
      <c r="C22" s="313"/>
      <c r="D22" s="313"/>
      <c r="E22" s="313"/>
      <c r="F22" s="318"/>
      <c r="G22" s="313"/>
      <c r="H22" s="327"/>
      <c r="I22" s="314"/>
      <c r="J22" s="343"/>
      <c r="K22" s="313"/>
      <c r="L22" s="313"/>
      <c r="M22" s="315"/>
      <c r="N22" s="314"/>
      <c r="O22" s="313"/>
      <c r="P22" s="312"/>
    </row>
    <row r="23" spans="1:16" ht="12.75">
      <c r="A23" s="2" t="s">
        <v>119</v>
      </c>
      <c r="C23" s="313">
        <v>13859</v>
      </c>
      <c r="D23" s="313"/>
      <c r="E23" s="313">
        <v>774</v>
      </c>
      <c r="F23" s="316">
        <f>E23/C23</f>
        <v>0.05584818529475431</v>
      </c>
      <c r="G23" s="313">
        <v>10</v>
      </c>
      <c r="H23" s="327">
        <f>G23/C23</f>
        <v>0.000721552781585973</v>
      </c>
      <c r="I23" s="314">
        <v>450</v>
      </c>
      <c r="J23" s="343">
        <v>0</v>
      </c>
      <c r="K23" s="313"/>
      <c r="L23" s="313">
        <f>E23+G23+I23</f>
        <v>1234</v>
      </c>
      <c r="M23" s="315">
        <v>-900</v>
      </c>
      <c r="N23" s="316">
        <f>M23/C23</f>
        <v>-0.06493975034273756</v>
      </c>
      <c r="O23" s="313">
        <f>C23+L23+M23</f>
        <v>14193</v>
      </c>
      <c r="P23" s="317">
        <f>(O23-C23)/C23</f>
        <v>0.0240998629049715</v>
      </c>
    </row>
    <row r="24" spans="3:16" ht="12.75">
      <c r="C24" s="313"/>
      <c r="D24" s="313"/>
      <c r="E24" s="313"/>
      <c r="F24" s="318"/>
      <c r="G24" s="313"/>
      <c r="H24" s="327"/>
      <c r="I24" s="314"/>
      <c r="J24" s="343"/>
      <c r="K24" s="313"/>
      <c r="L24" s="313"/>
      <c r="M24" s="315"/>
      <c r="N24" s="314"/>
      <c r="O24" s="313"/>
      <c r="P24" s="312"/>
    </row>
    <row r="25" spans="1:16" ht="12.75">
      <c r="A25" s="2" t="s">
        <v>120</v>
      </c>
      <c r="C25" s="313">
        <v>41511</v>
      </c>
      <c r="D25" s="313"/>
      <c r="E25" s="313">
        <v>2364</v>
      </c>
      <c r="F25" s="316">
        <f>E25/C25</f>
        <v>0.056948760569487604</v>
      </c>
      <c r="G25" s="313">
        <v>663</v>
      </c>
      <c r="H25" s="327">
        <f>G25/C25</f>
        <v>0.015971670159716702</v>
      </c>
      <c r="I25" s="314">
        <v>519</v>
      </c>
      <c r="J25" s="343">
        <v>0</v>
      </c>
      <c r="K25" s="313"/>
      <c r="L25" s="313">
        <f>E25+G25+I25</f>
        <v>3546</v>
      </c>
      <c r="M25" s="315">
        <v>-1038</v>
      </c>
      <c r="N25" s="316">
        <f>M25/C25</f>
        <v>-0.025005420250054203</v>
      </c>
      <c r="O25" s="313">
        <f>C25+L25+M25</f>
        <v>44019</v>
      </c>
      <c r="P25" s="317">
        <f>(O25-C25)/C25</f>
        <v>0.06041772060417721</v>
      </c>
    </row>
    <row r="26" spans="3:16" ht="12.75">
      <c r="C26" s="313"/>
      <c r="D26" s="313"/>
      <c r="E26" s="313"/>
      <c r="F26" s="318"/>
      <c r="G26" s="313"/>
      <c r="H26" s="327"/>
      <c r="I26" s="314"/>
      <c r="J26" s="343"/>
      <c r="K26" s="313"/>
      <c r="L26" s="313"/>
      <c r="M26" s="315"/>
      <c r="N26" s="314"/>
      <c r="O26" s="313"/>
      <c r="P26" s="312"/>
    </row>
    <row r="27" spans="1:16" ht="12.75">
      <c r="A27" s="2" t="s">
        <v>283</v>
      </c>
      <c r="C27" s="313">
        <v>903</v>
      </c>
      <c r="D27" s="313"/>
      <c r="E27" s="313">
        <v>40</v>
      </c>
      <c r="F27" s="316">
        <f>E27/C27</f>
        <v>0.044296788482835</v>
      </c>
      <c r="G27" s="313">
        <v>4</v>
      </c>
      <c r="H27" s="327">
        <f>G27/C27</f>
        <v>0.004429678848283499</v>
      </c>
      <c r="I27" s="314">
        <v>29</v>
      </c>
      <c r="J27" s="343">
        <v>0</v>
      </c>
      <c r="K27" s="313"/>
      <c r="L27" s="313">
        <f>E27+G27+I27</f>
        <v>73</v>
      </c>
      <c r="M27" s="315">
        <v>-59</v>
      </c>
      <c r="N27" s="316">
        <f>M27/C27</f>
        <v>-0.06533776301218161</v>
      </c>
      <c r="O27" s="313">
        <f>C27+L27+M27</f>
        <v>917</v>
      </c>
      <c r="P27" s="317">
        <f>(O27-C27)/C27</f>
        <v>0.015503875968992248</v>
      </c>
    </row>
    <row r="28" spans="3:16" ht="12.75">
      <c r="C28" s="313"/>
      <c r="D28" s="313"/>
      <c r="E28" s="313"/>
      <c r="F28" s="318"/>
      <c r="G28" s="313"/>
      <c r="H28" s="327"/>
      <c r="I28" s="314"/>
      <c r="J28" s="343"/>
      <c r="K28" s="313"/>
      <c r="L28" s="313"/>
      <c r="M28" s="315"/>
      <c r="N28" s="314"/>
      <c r="O28" s="313"/>
      <c r="P28" s="312"/>
    </row>
    <row r="29" spans="1:16" ht="12.75">
      <c r="A29" s="2" t="s">
        <v>122</v>
      </c>
      <c r="C29" s="313">
        <v>26748</v>
      </c>
      <c r="D29" s="313"/>
      <c r="E29" s="313">
        <v>1299</v>
      </c>
      <c r="F29" s="316">
        <f>E29/C29</f>
        <v>0.04856437864513235</v>
      </c>
      <c r="G29" s="313">
        <v>508</v>
      </c>
      <c r="H29" s="327">
        <f>G29/C29</f>
        <v>0.018992074173770003</v>
      </c>
      <c r="I29" s="314">
        <v>869</v>
      </c>
      <c r="J29" s="343">
        <v>0</v>
      </c>
      <c r="K29" s="313"/>
      <c r="L29" s="313">
        <f>E29+G29+I29</f>
        <v>2676</v>
      </c>
      <c r="M29" s="315">
        <v>-1738</v>
      </c>
      <c r="N29" s="316">
        <f>M29/C29</f>
        <v>-0.06497682069687453</v>
      </c>
      <c r="O29" s="313">
        <f>C29+L29+M29</f>
        <v>27686</v>
      </c>
      <c r="P29" s="317">
        <f>(O29-C29)/C29</f>
        <v>0.035068042470465084</v>
      </c>
    </row>
    <row r="30" spans="3:16" ht="12.75">
      <c r="C30" s="313"/>
      <c r="D30" s="313"/>
      <c r="E30" s="313"/>
      <c r="F30" s="316"/>
      <c r="G30" s="313"/>
      <c r="H30" s="327"/>
      <c r="I30" s="314"/>
      <c r="J30" s="343"/>
      <c r="K30" s="313"/>
      <c r="L30" s="313"/>
      <c r="M30" s="315"/>
      <c r="N30" s="314"/>
      <c r="O30" s="313"/>
      <c r="P30" s="312"/>
    </row>
    <row r="31" spans="1:16" ht="12.75">
      <c r="A31" s="2" t="s">
        <v>380</v>
      </c>
      <c r="C31" s="313">
        <v>12206</v>
      </c>
      <c r="D31" s="313"/>
      <c r="E31" s="313">
        <v>638</v>
      </c>
      <c r="F31" s="316">
        <f>E31/C31</f>
        <v>0.052269375716860564</v>
      </c>
      <c r="G31" s="313">
        <v>73</v>
      </c>
      <c r="H31" s="327">
        <f>G31/C31</f>
        <v>0.0059806652466000325</v>
      </c>
      <c r="I31" s="314">
        <v>397</v>
      </c>
      <c r="J31" s="343">
        <v>0</v>
      </c>
      <c r="K31" s="313"/>
      <c r="L31" s="313">
        <f>E31+G31+I31</f>
        <v>1108</v>
      </c>
      <c r="M31" s="315">
        <v>-794</v>
      </c>
      <c r="N31" s="316">
        <f>M31/C31</f>
        <v>-0.06504997542192364</v>
      </c>
      <c r="O31" s="313">
        <f>C31+L31+M31</f>
        <v>12520</v>
      </c>
      <c r="P31" s="317">
        <f>(O31-C31)/C31</f>
        <v>0.02572505325249877</v>
      </c>
    </row>
    <row r="32" spans="3:16" ht="12.75">
      <c r="C32" s="313"/>
      <c r="D32" s="313"/>
      <c r="E32" s="313"/>
      <c r="F32" s="316"/>
      <c r="G32" s="313"/>
      <c r="H32" s="327"/>
      <c r="I32" s="314"/>
      <c r="J32" s="343"/>
      <c r="K32" s="313"/>
      <c r="L32" s="313"/>
      <c r="M32" s="315"/>
      <c r="N32" s="314"/>
      <c r="O32" s="313"/>
      <c r="P32" s="312"/>
    </row>
    <row r="33" spans="1:16" ht="12.75">
      <c r="A33" s="2" t="s">
        <v>284</v>
      </c>
      <c r="C33" s="313">
        <v>8694</v>
      </c>
      <c r="D33" s="313"/>
      <c r="E33" s="313">
        <v>686</v>
      </c>
      <c r="F33" s="316">
        <f>E33/C33</f>
        <v>0.07890499194847021</v>
      </c>
      <c r="G33" s="313">
        <v>5</v>
      </c>
      <c r="H33" s="327">
        <f>G33/C33</f>
        <v>0.0005751092707614447</v>
      </c>
      <c r="I33" s="314">
        <v>109</v>
      </c>
      <c r="J33" s="343">
        <v>0</v>
      </c>
      <c r="K33" s="313"/>
      <c r="L33" s="313">
        <f>E33+G33+I33</f>
        <v>800</v>
      </c>
      <c r="M33" s="315">
        <v>-217</v>
      </c>
      <c r="N33" s="316">
        <f>M33/C33</f>
        <v>-0.0249597423510467</v>
      </c>
      <c r="O33" s="313">
        <f>C33+L33+M33</f>
        <v>9277</v>
      </c>
      <c r="P33" s="317">
        <f>(O33-C33)/C33</f>
        <v>0.06705774097078444</v>
      </c>
    </row>
    <row r="34" spans="3:16" ht="12.75">
      <c r="C34" s="313"/>
      <c r="D34" s="313"/>
      <c r="E34" s="313"/>
      <c r="F34" s="316"/>
      <c r="G34" s="313"/>
      <c r="H34" s="327"/>
      <c r="I34" s="314"/>
      <c r="J34" s="2"/>
      <c r="K34" s="313"/>
      <c r="L34" s="313"/>
      <c r="M34" s="315"/>
      <c r="N34" s="316"/>
      <c r="O34" s="313"/>
      <c r="P34" s="317"/>
    </row>
    <row r="35" spans="1:16" ht="12.75">
      <c r="A35" s="2" t="s">
        <v>626</v>
      </c>
      <c r="C35" s="313">
        <v>10068</v>
      </c>
      <c r="D35" s="313"/>
      <c r="E35" s="313">
        <v>500</v>
      </c>
      <c r="F35" s="316">
        <f>E35/C35</f>
        <v>0.049662296384584824</v>
      </c>
      <c r="G35" s="313">
        <v>275</v>
      </c>
      <c r="H35" s="327">
        <f>G35/C35</f>
        <v>0.027314263011521654</v>
      </c>
      <c r="I35" s="314">
        <v>250</v>
      </c>
      <c r="J35" s="2">
        <v>337</v>
      </c>
      <c r="K35" s="313"/>
      <c r="L35" s="313">
        <f>E35+G35+I35</f>
        <v>1025</v>
      </c>
      <c r="M35" s="315">
        <v>-500</v>
      </c>
      <c r="N35" s="316">
        <f>M35/C35</f>
        <v>-0.049662296384584824</v>
      </c>
      <c r="O35" s="313">
        <f>C35+L35+M35+J35</f>
        <v>10930</v>
      </c>
      <c r="P35" s="317">
        <f>(O35-C35)/C35</f>
        <v>0.08561779896702423</v>
      </c>
    </row>
    <row r="36" spans="3:16" ht="12.75">
      <c r="C36" s="313"/>
      <c r="D36" s="313"/>
      <c r="E36" s="313"/>
      <c r="F36" s="318"/>
      <c r="G36" s="313"/>
      <c r="H36" s="319"/>
      <c r="I36" s="314"/>
      <c r="J36" s="2"/>
      <c r="K36" s="313"/>
      <c r="L36" s="313"/>
      <c r="M36" s="315"/>
      <c r="N36" s="314"/>
      <c r="O36" s="313"/>
      <c r="P36" s="312"/>
    </row>
    <row r="37" spans="1:16" ht="13.5" thickBot="1">
      <c r="A37" s="2" t="s">
        <v>232</v>
      </c>
      <c r="C37" s="320">
        <f>SUM(C9:C36)</f>
        <v>194680</v>
      </c>
      <c r="D37" s="320"/>
      <c r="E37" s="320">
        <f>SUM(E8:E36)</f>
        <v>9714</v>
      </c>
      <c r="F37" s="321">
        <f>E37/C37</f>
        <v>0.04989726731045819</v>
      </c>
      <c r="G37" s="320">
        <f aca="true" t="shared" si="0" ref="G37:O37">SUM(G9:G36)</f>
        <v>2230</v>
      </c>
      <c r="H37" s="322">
        <f>G37/C37</f>
        <v>0.011454694883912061</v>
      </c>
      <c r="I37" s="323">
        <f>SUM(I9:I36)</f>
        <v>4822</v>
      </c>
      <c r="J37" s="323">
        <f>SUM(J9:J36)</f>
        <v>337</v>
      </c>
      <c r="K37" s="320"/>
      <c r="L37" s="320">
        <f t="shared" si="0"/>
        <v>16766</v>
      </c>
      <c r="M37" s="324">
        <f t="shared" si="0"/>
        <v>-9647</v>
      </c>
      <c r="N37" s="321">
        <f>M37/C37</f>
        <v>-0.04955311280049312</v>
      </c>
      <c r="O37" s="320">
        <f t="shared" si="0"/>
        <v>202136</v>
      </c>
      <c r="P37" s="325">
        <f>(O37-C37)/C37</f>
        <v>0.03829874666118759</v>
      </c>
    </row>
    <row r="38" ht="13.5" thickTop="1">
      <c r="O38" s="326"/>
    </row>
    <row r="39" ht="12.75">
      <c r="A39" s="2" t="s">
        <v>627</v>
      </c>
    </row>
  </sheetData>
  <mergeCells count="3">
    <mergeCell ref="E5:J5"/>
    <mergeCell ref="G6:H6"/>
    <mergeCell ref="E6:F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&amp;C&amp;F
&amp;R
</oddHeader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9" sqref="C19"/>
    </sheetView>
  </sheetViews>
  <sheetFormatPr defaultColWidth="9.140625" defaultRowHeight="12.75"/>
  <cols>
    <col min="1" max="1" width="11.7109375" style="3" bestFit="1" customWidth="1"/>
    <col min="2" max="2" width="30.8515625" style="3" bestFit="1" customWidth="1"/>
    <col min="3" max="3" width="10.28125" style="8" bestFit="1" customWidth="1"/>
    <col min="4" max="5" width="11.421875" style="8" bestFit="1" customWidth="1"/>
    <col min="6" max="6" width="9.421875" style="103" bestFit="1" customWidth="1"/>
    <col min="7" max="7" width="6.57421875" style="103" customWidth="1"/>
    <col min="8" max="8" width="8.00390625" style="3" bestFit="1" customWidth="1"/>
    <col min="9" max="9" width="10.421875" style="32" bestFit="1" customWidth="1"/>
    <col min="10" max="11" width="9.2812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100</v>
      </c>
      <c r="D5" s="426"/>
      <c r="E5" s="426"/>
      <c r="F5" s="427"/>
      <c r="G5" s="110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16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17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17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D13" s="11"/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</f>
        <v>#REF!</v>
      </c>
      <c r="D14" s="99">
        <v>3432</v>
      </c>
      <c r="E14" s="8">
        <v>1413</v>
      </c>
      <c r="F14" s="103">
        <v>58.825978351373855</v>
      </c>
      <c r="G14" s="3"/>
      <c r="H14" s="8">
        <v>2860</v>
      </c>
      <c r="I14" s="9">
        <v>1750</v>
      </c>
      <c r="J14" s="8">
        <v>1110</v>
      </c>
      <c r="K14" s="103">
        <v>63.42857142857142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v>0</v>
      </c>
      <c r="F15" s="103"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6120</v>
      </c>
      <c r="E16" s="8">
        <v>390</v>
      </c>
      <c r="F16" s="103">
        <v>8.49673202614379</v>
      </c>
      <c r="G16" s="3"/>
      <c r="H16" s="8">
        <v>4500</v>
      </c>
      <c r="I16" s="9">
        <v>3570</v>
      </c>
      <c r="J16" s="8">
        <v>930</v>
      </c>
      <c r="K16" s="103">
        <v>26.05042016806723</v>
      </c>
    </row>
    <row r="17" spans="1:11" ht="12.75">
      <c r="A17" s="3" t="s">
        <v>160</v>
      </c>
      <c r="B17" s="3" t="s">
        <v>214</v>
      </c>
      <c r="C17" s="8" t="e">
        <f>#REF!*1000</f>
        <v>#REF!</v>
      </c>
      <c r="D17" s="99">
        <v>121803</v>
      </c>
      <c r="E17" s="8">
        <v>-71677</v>
      </c>
      <c r="F17" s="103">
        <v>-78.46243103599264</v>
      </c>
      <c r="G17" s="3"/>
      <c r="H17" s="8">
        <v>15605</v>
      </c>
      <c r="I17" s="9">
        <v>71052</v>
      </c>
      <c r="J17" s="8">
        <v>-55447</v>
      </c>
      <c r="K17" s="103">
        <v>-78.03721218262682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0</v>
      </c>
      <c r="E18" s="8">
        <v>2200</v>
      </c>
      <c r="F18" s="103">
        <v>0</v>
      </c>
      <c r="G18" s="3"/>
      <c r="H18" s="8">
        <v>1600</v>
      </c>
      <c r="I18" s="9">
        <v>0</v>
      </c>
      <c r="J18" s="8">
        <v>1600</v>
      </c>
      <c r="K18" s="103">
        <v>0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>
        <v>449923</v>
      </c>
      <c r="F19" s="103">
        <v>0</v>
      </c>
      <c r="G19" s="3"/>
      <c r="H19" s="8">
        <v>51253</v>
      </c>
      <c r="I19" s="9">
        <v>0</v>
      </c>
      <c r="J19" s="8">
        <v>51253</v>
      </c>
      <c r="K19" s="103">
        <v>0</v>
      </c>
    </row>
    <row r="20" spans="1:11" ht="12.75">
      <c r="A20" s="3" t="s">
        <v>163</v>
      </c>
      <c r="B20" s="3" t="s">
        <v>99</v>
      </c>
      <c r="C20" s="106">
        <v>0</v>
      </c>
      <c r="D20" s="99">
        <v>0</v>
      </c>
      <c r="E20" s="8">
        <v>0</v>
      </c>
      <c r="F20" s="103"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2000</v>
      </c>
      <c r="D21" s="99">
        <v>0</v>
      </c>
      <c r="E21" s="8">
        <v>200</v>
      </c>
      <c r="F21" s="103">
        <v>0</v>
      </c>
      <c r="G21" s="3"/>
      <c r="H21" s="8">
        <v>200</v>
      </c>
      <c r="I21" s="9">
        <v>0</v>
      </c>
      <c r="J21" s="8">
        <v>200</v>
      </c>
      <c r="K21" s="103">
        <v>0</v>
      </c>
    </row>
    <row r="22" spans="3:11" ht="13.5" thickBot="1">
      <c r="C22" s="118" t="e">
        <f>SUM(C14:C21)</f>
        <v>#REF!</v>
      </c>
      <c r="D22" s="119">
        <v>131355</v>
      </c>
      <c r="E22" s="108">
        <v>382449</v>
      </c>
      <c r="F22" s="120">
        <v>388.8890018709835</v>
      </c>
      <c r="G22" s="3"/>
      <c r="H22" s="108">
        <v>76018</v>
      </c>
      <c r="I22" s="107">
        <v>76372</v>
      </c>
      <c r="J22" s="108">
        <v>-354</v>
      </c>
      <c r="K22" s="103">
        <v>-0.4635206620227308</v>
      </c>
    </row>
    <row r="23" ht="13.5" thickTop="1">
      <c r="H23" s="8"/>
    </row>
  </sheetData>
  <mergeCells count="2">
    <mergeCell ref="C5:F5"/>
    <mergeCell ref="H10:K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C19" sqref="C19"/>
    </sheetView>
  </sheetViews>
  <sheetFormatPr defaultColWidth="9.140625" defaultRowHeight="12.75"/>
  <cols>
    <col min="1" max="1" width="11.8515625" style="3" bestFit="1" customWidth="1"/>
    <col min="2" max="2" width="30.8515625" style="3" bestFit="1" customWidth="1"/>
    <col min="3" max="3" width="13.140625" style="8" bestFit="1" customWidth="1"/>
    <col min="4" max="4" width="14.7109375" style="8" bestFit="1" customWidth="1"/>
    <col min="5" max="5" width="11.57421875" style="8" bestFit="1" customWidth="1"/>
    <col min="6" max="6" width="9.57421875" style="103" bestFit="1" customWidth="1"/>
    <col min="7" max="7" width="6.57421875" style="103" customWidth="1"/>
    <col min="8" max="8" width="9.57421875" style="3" bestFit="1" customWidth="1"/>
    <col min="9" max="9" width="11.421875" style="32" bestFit="1" customWidth="1"/>
    <col min="10" max="10" width="10.7109375" style="3" bestFit="1" customWidth="1"/>
    <col min="11" max="11" width="9.42187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235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16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17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17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D13" s="11"/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50372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39213</v>
      </c>
      <c r="I14" s="9">
        <v>42312</v>
      </c>
      <c r="J14" s="8">
        <v>-3099</v>
      </c>
      <c r="K14" s="103">
        <v>-7.324163357912648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5835</v>
      </c>
      <c r="E16" s="8" t="e">
        <f t="shared" si="0"/>
        <v>#REF!</v>
      </c>
      <c r="F16" s="103" t="e">
        <f t="shared" si="1"/>
        <v>#REF!</v>
      </c>
      <c r="G16" s="3"/>
      <c r="H16" s="8">
        <v>11460</v>
      </c>
      <c r="I16" s="9">
        <v>4376</v>
      </c>
      <c r="J16" s="8">
        <v>7084</v>
      </c>
      <c r="K16" s="103">
        <v>161.88299817184642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1192682</v>
      </c>
      <c r="E17" s="8">
        <f t="shared" si="0"/>
        <v>-1192682</v>
      </c>
      <c r="F17" s="103">
        <f t="shared" si="1"/>
        <v>-100</v>
      </c>
      <c r="G17" s="3"/>
      <c r="H17" s="8">
        <v>122480</v>
      </c>
      <c r="I17" s="9">
        <v>894512</v>
      </c>
      <c r="J17" s="8">
        <v>-772032</v>
      </c>
      <c r="K17" s="103">
        <v>-86.30761800847837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130744</v>
      </c>
      <c r="E18" s="8" t="e">
        <f t="shared" si="0"/>
        <v>#REF!</v>
      </c>
      <c r="F18" s="103" t="e">
        <f t="shared" si="1"/>
        <v>#REF!</v>
      </c>
      <c r="G18" s="3"/>
      <c r="H18" s="8">
        <v>60064</v>
      </c>
      <c r="I18" s="9">
        <v>98058</v>
      </c>
      <c r="J18" s="8">
        <v>-37994</v>
      </c>
      <c r="K18" s="103">
        <v>-38.746456178996105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758135</v>
      </c>
      <c r="I19" s="9">
        <v>0</v>
      </c>
      <c r="J19" s="8">
        <v>758135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-400</v>
      </c>
      <c r="I21" s="9">
        <v>0</v>
      </c>
      <c r="J21" s="8">
        <v>-400</v>
      </c>
      <c r="K21" s="103">
        <v>0</v>
      </c>
    </row>
    <row r="22" spans="3:11" ht="13.5" thickBot="1">
      <c r="C22" s="118" t="e">
        <f>SUM(C14:C21)</f>
        <v>#REF!</v>
      </c>
      <c r="D22" s="119">
        <v>1379633</v>
      </c>
      <c r="E22" s="108" t="e">
        <f t="shared" si="0"/>
        <v>#REF!</v>
      </c>
      <c r="F22" s="120" t="e">
        <f t="shared" si="1"/>
        <v>#REF!</v>
      </c>
      <c r="G22" s="3"/>
      <c r="H22" s="108">
        <v>990952</v>
      </c>
      <c r="I22" s="107">
        <v>1039258</v>
      </c>
      <c r="J22" s="108">
        <v>-48306</v>
      </c>
      <c r="K22" s="103">
        <v>-4.648123949972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C19" sqref="C19"/>
    </sheetView>
  </sheetViews>
  <sheetFormatPr defaultColWidth="9.140625" defaultRowHeight="12.75"/>
  <cols>
    <col min="1" max="1" width="11.57421875" style="3" bestFit="1" customWidth="1"/>
    <col min="2" max="2" width="30.8515625" style="3" bestFit="1" customWidth="1"/>
    <col min="3" max="3" width="11.57421875" style="8" bestFit="1" customWidth="1"/>
    <col min="4" max="4" width="13.28125" style="8" bestFit="1" customWidth="1"/>
    <col min="5" max="5" width="11.57421875" style="8" bestFit="1" customWidth="1"/>
    <col min="6" max="6" width="9.57421875" style="103" bestFit="1" customWidth="1"/>
    <col min="7" max="7" width="6.57421875" style="103" customWidth="1"/>
    <col min="8" max="8" width="9.8515625" style="3" bestFit="1" customWidth="1"/>
    <col min="9" max="9" width="11.7109375" style="32" bestFit="1" customWidth="1"/>
    <col min="10" max="10" width="10.28125" style="3" bestFit="1" customWidth="1"/>
    <col min="11" max="11" width="9.42187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101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33870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29205</v>
      </c>
      <c r="I14" s="9">
        <v>24048</v>
      </c>
      <c r="J14" s="8">
        <v>5157</v>
      </c>
      <c r="K14" s="103">
        <v>21.444610778443113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25260</v>
      </c>
      <c r="E16" s="8" t="e">
        <f t="shared" si="0"/>
        <v>#REF!</v>
      </c>
      <c r="F16" s="103" t="e">
        <f t="shared" si="1"/>
        <v>#REF!</v>
      </c>
      <c r="G16" s="3"/>
      <c r="H16" s="8">
        <v>27564</v>
      </c>
      <c r="I16" s="9">
        <v>18945</v>
      </c>
      <c r="J16" s="8">
        <v>8619</v>
      </c>
      <c r="K16" s="103">
        <v>45.49485352335709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642889</v>
      </c>
      <c r="E17" s="8">
        <f t="shared" si="0"/>
        <v>-642889</v>
      </c>
      <c r="F17" s="103">
        <f t="shared" si="1"/>
        <v>-100</v>
      </c>
      <c r="G17" s="3"/>
      <c r="H17" s="8">
        <v>137475</v>
      </c>
      <c r="I17" s="9">
        <v>482167</v>
      </c>
      <c r="J17" s="8">
        <v>-344692</v>
      </c>
      <c r="K17" s="103">
        <v>-71.48809437394098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13181</v>
      </c>
      <c r="E18" s="8" t="e">
        <f t="shared" si="0"/>
        <v>#REF!</v>
      </c>
      <c r="F18" s="103" t="e">
        <f t="shared" si="1"/>
        <v>#REF!</v>
      </c>
      <c r="G18" s="3"/>
      <c r="H18" s="8">
        <v>6200</v>
      </c>
      <c r="I18" s="9">
        <v>9886</v>
      </c>
      <c r="J18" s="8">
        <v>-3686</v>
      </c>
      <c r="K18" s="103">
        <v>-37.285049565041476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0</v>
      </c>
      <c r="I19" s="9">
        <v>0</v>
      </c>
      <c r="J19" s="8">
        <v>0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25</v>
      </c>
      <c r="I20" s="9">
        <v>0</v>
      </c>
      <c r="J20" s="8">
        <v>25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4800</v>
      </c>
      <c r="I21" s="9">
        <v>0</v>
      </c>
      <c r="J21" s="8">
        <v>4800</v>
      </c>
      <c r="K21" s="103">
        <v>0</v>
      </c>
    </row>
    <row r="22" spans="3:11" ht="13.5" thickBot="1">
      <c r="C22" s="118" t="e">
        <f>SUM(C14:C21)</f>
        <v>#REF!</v>
      </c>
      <c r="D22" s="119">
        <v>715200</v>
      </c>
      <c r="E22" s="108" t="e">
        <f t="shared" si="0"/>
        <v>#REF!</v>
      </c>
      <c r="F22" s="120" t="e">
        <f t="shared" si="1"/>
        <v>#REF!</v>
      </c>
      <c r="G22" s="3"/>
      <c r="H22" s="108">
        <v>205269</v>
      </c>
      <c r="I22" s="107">
        <v>535046</v>
      </c>
      <c r="J22" s="108">
        <v>-329777</v>
      </c>
      <c r="K22" s="103">
        <v>-61.63526126725552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1">
      <selection activeCell="C19" sqref="C19"/>
    </sheetView>
  </sheetViews>
  <sheetFormatPr defaultColWidth="9.140625" defaultRowHeight="12.75"/>
  <cols>
    <col min="1" max="1" width="11.57421875" style="3" bestFit="1" customWidth="1"/>
    <col min="2" max="2" width="30.8515625" style="3" bestFit="1" customWidth="1"/>
    <col min="3" max="5" width="11.421875" style="8" bestFit="1" customWidth="1"/>
    <col min="6" max="6" width="9.421875" style="103" bestFit="1" customWidth="1"/>
    <col min="7" max="7" width="6.57421875" style="103" customWidth="1"/>
    <col min="8" max="8" width="9.00390625" style="3" bestFit="1" customWidth="1"/>
    <col min="9" max="9" width="11.57421875" style="32" bestFit="1" customWidth="1"/>
    <col min="10" max="10" width="9.421875" style="3" bestFit="1" customWidth="1"/>
    <col min="11" max="11" width="9.2812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102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11245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13207</v>
      </c>
      <c r="I14" s="9">
        <v>8434</v>
      </c>
      <c r="J14" s="8">
        <v>4773</v>
      </c>
      <c r="K14" s="103">
        <v>56.59236423998103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1335</v>
      </c>
      <c r="E16" s="8" t="e">
        <f t="shared" si="0"/>
        <v>#REF!</v>
      </c>
      <c r="F16" s="103" t="e">
        <f t="shared" si="1"/>
        <v>#REF!</v>
      </c>
      <c r="G16" s="3"/>
      <c r="H16" s="8">
        <v>1200</v>
      </c>
      <c r="I16" s="9">
        <v>1001</v>
      </c>
      <c r="J16" s="8">
        <v>199</v>
      </c>
      <c r="K16" s="103">
        <v>19.88011988011988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227403</v>
      </c>
      <c r="E17" s="8">
        <f t="shared" si="0"/>
        <v>-227403</v>
      </c>
      <c r="F17" s="103">
        <f t="shared" si="1"/>
        <v>-100</v>
      </c>
      <c r="G17" s="3"/>
      <c r="H17" s="8">
        <v>20310</v>
      </c>
      <c r="I17" s="9">
        <v>170552</v>
      </c>
      <c r="J17" s="8">
        <v>-150242</v>
      </c>
      <c r="K17" s="103">
        <v>-88.09160842441015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17456</v>
      </c>
      <c r="E18" s="8" t="e">
        <f t="shared" si="0"/>
        <v>#REF!</v>
      </c>
      <c r="F18" s="103" t="e">
        <f t="shared" si="1"/>
        <v>#REF!</v>
      </c>
      <c r="G18" s="3"/>
      <c r="H18" s="8">
        <v>6800</v>
      </c>
      <c r="I18" s="9">
        <v>13092</v>
      </c>
      <c r="J18" s="8">
        <v>-6292</v>
      </c>
      <c r="K18" s="103">
        <v>-48.05988389856401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143453</v>
      </c>
      <c r="I19" s="9">
        <v>0</v>
      </c>
      <c r="J19" s="8">
        <v>143453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1000</v>
      </c>
      <c r="I21" s="9">
        <v>0</v>
      </c>
      <c r="J21" s="8">
        <v>1000</v>
      </c>
      <c r="K21" s="103">
        <v>0</v>
      </c>
    </row>
    <row r="22" spans="3:11" ht="13.5" thickBot="1">
      <c r="C22" s="118" t="e">
        <f>SUM(C14:C21)</f>
        <v>#REF!</v>
      </c>
      <c r="D22" s="119">
        <v>257439</v>
      </c>
      <c r="E22" s="108" t="e">
        <f t="shared" si="0"/>
        <v>#REF!</v>
      </c>
      <c r="F22" s="120" t="e">
        <f t="shared" si="1"/>
        <v>#REF!</v>
      </c>
      <c r="G22" s="3"/>
      <c r="H22" s="108">
        <v>185970</v>
      </c>
      <c r="I22" s="107">
        <v>193079</v>
      </c>
      <c r="J22" s="108">
        <v>-7109</v>
      </c>
      <c r="K22" s="103">
        <v>-3.6819125850040657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C19" sqref="C19"/>
    </sheetView>
  </sheetViews>
  <sheetFormatPr defaultColWidth="9.140625" defaultRowHeight="12.75"/>
  <cols>
    <col min="1" max="1" width="11.57421875" style="3" bestFit="1" customWidth="1"/>
    <col min="2" max="2" width="30.8515625" style="3" bestFit="1" customWidth="1"/>
    <col min="3" max="3" width="11.57421875" style="8" bestFit="1" customWidth="1"/>
    <col min="4" max="4" width="13.28125" style="8" bestFit="1" customWidth="1"/>
    <col min="5" max="5" width="11.57421875" style="8" bestFit="1" customWidth="1"/>
    <col min="6" max="6" width="9.57421875" style="103" bestFit="1" customWidth="1"/>
    <col min="7" max="7" width="6.57421875" style="103" customWidth="1"/>
    <col min="8" max="8" width="10.00390625" style="3" bestFit="1" customWidth="1"/>
    <col min="9" max="9" width="12.140625" style="32" bestFit="1" customWidth="1"/>
    <col min="10" max="10" width="9.8515625" style="3" bestFit="1" customWidth="1"/>
    <col min="11" max="11" width="9.42187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103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18005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10245</v>
      </c>
      <c r="I14" s="9">
        <v>12604</v>
      </c>
      <c r="J14" s="8">
        <v>-2359</v>
      </c>
      <c r="K14" s="103">
        <v>-18.716280545858456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13473</v>
      </c>
      <c r="E16" s="8" t="e">
        <f t="shared" si="0"/>
        <v>#REF!</v>
      </c>
      <c r="F16" s="103" t="e">
        <f t="shared" si="1"/>
        <v>#REF!</v>
      </c>
      <c r="G16" s="3"/>
      <c r="H16" s="8">
        <v>9240</v>
      </c>
      <c r="I16" s="9">
        <v>10105</v>
      </c>
      <c r="J16" s="8">
        <v>-865</v>
      </c>
      <c r="K16" s="103">
        <v>-8.560118753092528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328022</v>
      </c>
      <c r="E17" s="8">
        <f t="shared" si="0"/>
        <v>-328022</v>
      </c>
      <c r="F17" s="103">
        <f t="shared" si="1"/>
        <v>-100</v>
      </c>
      <c r="G17" s="3"/>
      <c r="H17" s="8">
        <v>43885</v>
      </c>
      <c r="I17" s="9">
        <v>246017</v>
      </c>
      <c r="J17" s="8">
        <v>-202132</v>
      </c>
      <c r="K17" s="103">
        <v>-82.16180182670303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40969</v>
      </c>
      <c r="E18" s="8" t="e">
        <f t="shared" si="0"/>
        <v>#REF!</v>
      </c>
      <c r="F18" s="103" t="e">
        <f t="shared" si="1"/>
        <v>#REF!</v>
      </c>
      <c r="G18" s="3"/>
      <c r="H18" s="8">
        <v>22600</v>
      </c>
      <c r="I18" s="9">
        <v>30727</v>
      </c>
      <c r="J18" s="8">
        <v>-8127</v>
      </c>
      <c r="K18" s="103">
        <v>-26.449051322940736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204848</v>
      </c>
      <c r="I19" s="9">
        <v>0</v>
      </c>
      <c r="J19" s="8">
        <v>204848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0</v>
      </c>
      <c r="I21" s="9">
        <v>0</v>
      </c>
      <c r="J21" s="8">
        <v>0</v>
      </c>
      <c r="K21" s="103">
        <v>0</v>
      </c>
    </row>
    <row r="22" spans="3:11" ht="13.5" thickBot="1">
      <c r="C22" s="118" t="e">
        <f>SUM(C14:C21)</f>
        <v>#REF!</v>
      </c>
      <c r="D22" s="119">
        <v>400469</v>
      </c>
      <c r="E22" s="108" t="e">
        <f t="shared" si="0"/>
        <v>#REF!</v>
      </c>
      <c r="F22" s="120" t="e">
        <f t="shared" si="1"/>
        <v>#REF!</v>
      </c>
      <c r="G22" s="3"/>
      <c r="H22" s="108">
        <v>290818</v>
      </c>
      <c r="I22" s="107">
        <v>299453</v>
      </c>
      <c r="J22" s="108">
        <v>-8635</v>
      </c>
      <c r="K22" s="103">
        <v>-2.8835910810711534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7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D35"/>
  <sheetViews>
    <sheetView zoomScale="80" zoomScaleNormal="80" workbookViewId="0" topLeftCell="A1">
      <selection activeCell="J11" sqref="J11"/>
    </sheetView>
  </sheetViews>
  <sheetFormatPr defaultColWidth="9.140625" defaultRowHeight="12.75"/>
  <cols>
    <col min="1" max="1" width="5.57421875" style="1" bestFit="1" customWidth="1"/>
    <col min="2" max="2" width="40.7109375" style="2" customWidth="1"/>
    <col min="3" max="3" width="7.57421875" style="187" customWidth="1"/>
    <col min="4" max="4" width="9.28125" style="187" bestFit="1" customWidth="1"/>
    <col min="5" max="16384" width="9.140625" style="2" customWidth="1"/>
  </cols>
  <sheetData>
    <row r="1" spans="2:4" ht="18">
      <c r="B1" s="403" t="s">
        <v>395</v>
      </c>
      <c r="C1" s="403"/>
      <c r="D1" s="403"/>
    </row>
    <row r="2" spans="2:4" ht="12.75">
      <c r="B2" s="186"/>
      <c r="D2" s="187" t="s">
        <v>396</v>
      </c>
    </row>
    <row r="3" ht="12.75">
      <c r="B3" s="186"/>
    </row>
    <row r="4" spans="1:4" ht="12.75">
      <c r="A4" s="188" t="s">
        <v>397</v>
      </c>
      <c r="B4" s="1" t="s">
        <v>366</v>
      </c>
      <c r="D4" s="187">
        <v>3</v>
      </c>
    </row>
    <row r="5" ht="12.75" customHeight="1">
      <c r="A5" s="188"/>
    </row>
    <row r="6" spans="1:4" s="1" customFormat="1" ht="12.75" customHeight="1">
      <c r="A6" s="188" t="s">
        <v>398</v>
      </c>
      <c r="B6" s="189" t="s">
        <v>399</v>
      </c>
      <c r="C6" s="190"/>
      <c r="D6" s="190"/>
    </row>
    <row r="7" spans="1:4" ht="12.75">
      <c r="A7" s="188"/>
      <c r="B7" s="191" t="s">
        <v>436</v>
      </c>
      <c r="C7" s="192"/>
      <c r="D7" s="192">
        <v>4</v>
      </c>
    </row>
    <row r="8" spans="1:4" ht="12.75">
      <c r="A8" s="188"/>
      <c r="B8" s="193" t="s">
        <v>412</v>
      </c>
      <c r="C8" s="192"/>
      <c r="D8" s="192">
        <v>5</v>
      </c>
    </row>
    <row r="9" spans="1:4" ht="12.75">
      <c r="A9" s="188"/>
      <c r="B9" s="193" t="s">
        <v>413</v>
      </c>
      <c r="C9" s="192"/>
      <c r="D9" s="194" t="s">
        <v>475</v>
      </c>
    </row>
    <row r="10" spans="1:4" ht="12.75">
      <c r="A10" s="188"/>
      <c r="B10" s="193" t="s">
        <v>619</v>
      </c>
      <c r="C10" s="192"/>
      <c r="D10" s="194" t="s">
        <v>588</v>
      </c>
    </row>
    <row r="11" spans="1:4" ht="12.75">
      <c r="A11" s="188"/>
      <c r="B11" s="193" t="s">
        <v>590</v>
      </c>
      <c r="C11" s="192"/>
      <c r="D11" s="194" t="s">
        <v>589</v>
      </c>
    </row>
    <row r="12" spans="1:4" ht="12.75">
      <c r="A12" s="188"/>
      <c r="B12" s="193" t="s">
        <v>591</v>
      </c>
      <c r="C12" s="192"/>
      <c r="D12" s="194" t="s">
        <v>620</v>
      </c>
    </row>
    <row r="13" spans="1:4" ht="12.75">
      <c r="A13" s="188"/>
      <c r="B13" s="193" t="s">
        <v>621</v>
      </c>
      <c r="C13" s="192"/>
      <c r="D13" s="194" t="s">
        <v>622</v>
      </c>
    </row>
    <row r="14" spans="1:4" ht="12.75">
      <c r="A14" s="188"/>
      <c r="B14" s="191" t="s">
        <v>586</v>
      </c>
      <c r="C14" s="192"/>
      <c r="D14" s="192">
        <v>13</v>
      </c>
    </row>
    <row r="15" spans="1:4" ht="12.75">
      <c r="A15" s="188"/>
      <c r="B15" s="193" t="s">
        <v>587</v>
      </c>
      <c r="C15" s="192"/>
      <c r="D15" s="192">
        <v>14</v>
      </c>
    </row>
    <row r="16" spans="1:4" ht="12.75">
      <c r="A16" s="188"/>
      <c r="B16" s="145"/>
      <c r="C16" s="192"/>
      <c r="D16" s="192"/>
    </row>
    <row r="17" spans="1:4" s="1" customFormat="1" ht="12.75">
      <c r="A17" s="195" t="s">
        <v>484</v>
      </c>
      <c r="B17" s="189" t="s">
        <v>400</v>
      </c>
      <c r="C17" s="190"/>
      <c r="D17" s="190"/>
    </row>
    <row r="18" spans="1:4" ht="12.75">
      <c r="A18" s="188"/>
      <c r="B18" s="193" t="s">
        <v>401</v>
      </c>
      <c r="C18" s="192"/>
      <c r="D18" s="192">
        <f>D15+1</f>
        <v>15</v>
      </c>
    </row>
    <row r="19" spans="1:4" ht="12.75">
      <c r="A19" s="188"/>
      <c r="B19" s="193" t="s">
        <v>632</v>
      </c>
      <c r="C19" s="192"/>
      <c r="D19" s="192">
        <f>D18+1</f>
        <v>16</v>
      </c>
    </row>
    <row r="20" spans="2:4" ht="12.75">
      <c r="B20" s="193" t="s">
        <v>402</v>
      </c>
      <c r="C20" s="192"/>
      <c r="D20" s="192">
        <v>17</v>
      </c>
    </row>
    <row r="21" spans="2:4" ht="12.75">
      <c r="B21" s="193" t="s">
        <v>403</v>
      </c>
      <c r="C21" s="192"/>
      <c r="D21" s="192">
        <v>18</v>
      </c>
    </row>
    <row r="22" spans="2:4" ht="12.75">
      <c r="B22" s="152" t="s">
        <v>633</v>
      </c>
      <c r="C22" s="192"/>
      <c r="D22" s="192">
        <v>19</v>
      </c>
    </row>
    <row r="23" spans="2:4" ht="12.75">
      <c r="B23" s="193" t="s">
        <v>404</v>
      </c>
      <c r="C23" s="192"/>
      <c r="D23" s="192">
        <v>20</v>
      </c>
    </row>
    <row r="24" spans="2:4" ht="12.75">
      <c r="B24" s="193" t="s">
        <v>635</v>
      </c>
      <c r="C24" s="192"/>
      <c r="D24" s="192">
        <v>21</v>
      </c>
    </row>
    <row r="25" spans="2:4" ht="12.75">
      <c r="B25" s="193" t="s">
        <v>634</v>
      </c>
      <c r="C25" s="192"/>
      <c r="D25" s="192">
        <v>22</v>
      </c>
    </row>
    <row r="26" spans="2:4" ht="12.75">
      <c r="B26" s="193" t="s">
        <v>405</v>
      </c>
      <c r="C26" s="192"/>
      <c r="D26" s="192">
        <v>23</v>
      </c>
    </row>
    <row r="27" spans="2:4" ht="12.75">
      <c r="B27" s="152" t="s">
        <v>636</v>
      </c>
      <c r="C27" s="192"/>
      <c r="D27" s="192">
        <v>24</v>
      </c>
    </row>
    <row r="28" spans="2:4" ht="12.75">
      <c r="B28" s="152" t="s">
        <v>447</v>
      </c>
      <c r="C28" s="192"/>
      <c r="D28" s="192">
        <v>25</v>
      </c>
    </row>
    <row r="29" spans="2:4" ht="12.75">
      <c r="B29" s="193" t="s">
        <v>406</v>
      </c>
      <c r="C29" s="192"/>
      <c r="D29" s="192">
        <f aca="true" t="shared" si="0" ref="D21:D35">D28+1</f>
        <v>26</v>
      </c>
    </row>
    <row r="30" spans="2:4" ht="12.75">
      <c r="B30" s="193" t="s">
        <v>407</v>
      </c>
      <c r="C30" s="192"/>
      <c r="D30" s="192">
        <f t="shared" si="0"/>
        <v>27</v>
      </c>
    </row>
    <row r="31" spans="2:4" ht="12.75">
      <c r="B31" s="191" t="s">
        <v>408</v>
      </c>
      <c r="C31" s="192"/>
      <c r="D31" s="192">
        <f t="shared" si="0"/>
        <v>28</v>
      </c>
    </row>
    <row r="32" spans="2:4" ht="12.75">
      <c r="B32" s="191" t="s">
        <v>409</v>
      </c>
      <c r="C32" s="192"/>
      <c r="D32" s="192">
        <f t="shared" si="0"/>
        <v>29</v>
      </c>
    </row>
    <row r="33" spans="2:4" ht="12.75">
      <c r="B33" s="191" t="s">
        <v>410</v>
      </c>
      <c r="C33" s="192"/>
      <c r="D33" s="192">
        <f t="shared" si="0"/>
        <v>30</v>
      </c>
    </row>
    <row r="34" spans="2:4" ht="12.75">
      <c r="B34" s="191" t="s">
        <v>411</v>
      </c>
      <c r="C34" s="192"/>
      <c r="D34" s="192">
        <f t="shared" si="0"/>
        <v>31</v>
      </c>
    </row>
    <row r="35" spans="2:4" ht="12.75">
      <c r="B35" s="191" t="s">
        <v>432</v>
      </c>
      <c r="C35" s="192"/>
      <c r="D35" s="192">
        <f t="shared" si="0"/>
        <v>32</v>
      </c>
    </row>
  </sheetData>
  <mergeCells count="1">
    <mergeCell ref="B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&amp;C&amp;F
</oddHeader>
    <oddFooter>&amp;CPage &amp;P of &amp;N</oddFooter>
  </headerFooter>
  <rowBreaks count="1" manualBreakCount="1">
    <brk id="18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1">
      <selection activeCell="C19" sqref="C19"/>
    </sheetView>
  </sheetViews>
  <sheetFormatPr defaultColWidth="9.140625" defaultRowHeight="12.75"/>
  <cols>
    <col min="1" max="1" width="11.57421875" style="3" bestFit="1" customWidth="1"/>
    <col min="2" max="2" width="30.8515625" style="3" bestFit="1" customWidth="1"/>
    <col min="3" max="3" width="10.421875" style="8" bestFit="1" customWidth="1"/>
    <col min="4" max="4" width="10.7109375" style="8" bestFit="1" customWidth="1"/>
    <col min="5" max="5" width="11.421875" style="8" bestFit="1" customWidth="1"/>
    <col min="6" max="6" width="9.421875" style="103" bestFit="1" customWidth="1"/>
    <col min="7" max="7" width="6.57421875" style="103" customWidth="1"/>
    <col min="8" max="8" width="8.421875" style="3" bestFit="1" customWidth="1"/>
    <col min="9" max="9" width="10.57421875" style="32" bestFit="1" customWidth="1"/>
    <col min="10" max="10" width="9.421875" style="3" bestFit="1" customWidth="1"/>
    <col min="11" max="11" width="9.2812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104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1059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663</v>
      </c>
      <c r="I14" s="9">
        <v>773</v>
      </c>
      <c r="J14" s="8">
        <v>-110</v>
      </c>
      <c r="K14" s="103">
        <v>-14.23027166882277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</f>
        <v>#REF!</v>
      </c>
      <c r="D16" s="99">
        <v>900</v>
      </c>
      <c r="E16" s="8" t="e">
        <f t="shared" si="0"/>
        <v>#REF!</v>
      </c>
      <c r="F16" s="103" t="e">
        <f t="shared" si="1"/>
        <v>#REF!</v>
      </c>
      <c r="G16" s="3"/>
      <c r="H16" s="8">
        <v>1020</v>
      </c>
      <c r="I16" s="9">
        <v>675</v>
      </c>
      <c r="J16" s="8">
        <v>345</v>
      </c>
      <c r="K16" s="103">
        <v>51.11111111111111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75102</v>
      </c>
      <c r="E17" s="8">
        <f t="shared" si="0"/>
        <v>-75102</v>
      </c>
      <c r="F17" s="103">
        <f t="shared" si="1"/>
        <v>-100</v>
      </c>
      <c r="G17" s="3"/>
      <c r="H17" s="8">
        <v>7080</v>
      </c>
      <c r="I17" s="9">
        <v>56327</v>
      </c>
      <c r="J17" s="8">
        <v>-49247</v>
      </c>
      <c r="K17" s="103">
        <v>-87.43053952811263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0</v>
      </c>
      <c r="E18" s="8" t="e">
        <f t="shared" si="0"/>
        <v>#REF!</v>
      </c>
      <c r="F18" s="103">
        <f t="shared" si="1"/>
        <v>0</v>
      </c>
      <c r="G18" s="3"/>
      <c r="H18" s="8">
        <v>600</v>
      </c>
      <c r="I18" s="9">
        <v>0</v>
      </c>
      <c r="J18" s="8">
        <v>600</v>
      </c>
      <c r="K18" s="103">
        <v>0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45355</v>
      </c>
      <c r="I19" s="9">
        <v>0</v>
      </c>
      <c r="J19" s="8">
        <v>45355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0</v>
      </c>
      <c r="I21" s="9">
        <v>0</v>
      </c>
      <c r="J21" s="8">
        <v>0</v>
      </c>
      <c r="K21" s="103">
        <v>0</v>
      </c>
    </row>
    <row r="22" spans="3:11" ht="13.5" thickBot="1">
      <c r="C22" s="118" t="e">
        <f>SUM(C14:C21)</f>
        <v>#REF!</v>
      </c>
      <c r="D22" s="119">
        <v>77061</v>
      </c>
      <c r="E22" s="108" t="e">
        <f t="shared" si="0"/>
        <v>#REF!</v>
      </c>
      <c r="F22" s="120" t="e">
        <f t="shared" si="1"/>
        <v>#REF!</v>
      </c>
      <c r="G22" s="3"/>
      <c r="H22" s="108">
        <v>54718</v>
      </c>
      <c r="I22" s="107">
        <v>57775</v>
      </c>
      <c r="J22" s="108">
        <v>-3057</v>
      </c>
      <c r="K22" s="103">
        <v>-5.2912159238424925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1">
      <selection activeCell="C19" sqref="C19"/>
    </sheetView>
  </sheetViews>
  <sheetFormatPr defaultColWidth="9.140625" defaultRowHeight="12.75"/>
  <cols>
    <col min="1" max="1" width="11.57421875" style="3" bestFit="1" customWidth="1"/>
    <col min="2" max="2" width="30.8515625" style="3" bestFit="1" customWidth="1"/>
    <col min="3" max="3" width="13.28125" style="8" bestFit="1" customWidth="1"/>
    <col min="4" max="4" width="14.28125" style="8" bestFit="1" customWidth="1"/>
    <col min="5" max="5" width="11.7109375" style="8" bestFit="1" customWidth="1"/>
    <col min="6" max="6" width="9.7109375" style="103" bestFit="1" customWidth="1"/>
    <col min="7" max="7" width="6.57421875" style="103" customWidth="1"/>
    <col min="8" max="8" width="10.57421875" style="3" bestFit="1" customWidth="1"/>
    <col min="9" max="9" width="14.140625" style="32" bestFit="1" customWidth="1"/>
    <col min="10" max="10" width="10.140625" style="3" bestFit="1" customWidth="1"/>
    <col min="11" max="11" width="9.5742187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105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62596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38120</v>
      </c>
      <c r="I14" s="9">
        <v>49451</v>
      </c>
      <c r="J14" s="8">
        <v>-11331</v>
      </c>
      <c r="K14" s="103">
        <v>-22.913591231724332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13095</v>
      </c>
      <c r="E16" s="8" t="e">
        <f t="shared" si="0"/>
        <v>#REF!</v>
      </c>
      <c r="F16" s="103" t="e">
        <f t="shared" si="1"/>
        <v>#REF!</v>
      </c>
      <c r="G16" s="3"/>
      <c r="H16" s="8">
        <v>13500</v>
      </c>
      <c r="I16" s="9">
        <v>9821</v>
      </c>
      <c r="J16" s="8">
        <v>3679</v>
      </c>
      <c r="K16" s="103">
        <v>37.46054373281743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1451912</v>
      </c>
      <c r="E17" s="8">
        <f t="shared" si="0"/>
        <v>-1451912</v>
      </c>
      <c r="F17" s="103">
        <f t="shared" si="1"/>
        <v>-100</v>
      </c>
      <c r="G17" s="3"/>
      <c r="H17" s="8">
        <v>157573</v>
      </c>
      <c r="I17" s="9">
        <v>1088934</v>
      </c>
      <c r="J17" s="8">
        <v>-931361</v>
      </c>
      <c r="K17" s="103">
        <v>-85.52960969168012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198075</v>
      </c>
      <c r="E18" s="8" t="e">
        <f t="shared" si="0"/>
        <v>#REF!</v>
      </c>
      <c r="F18" s="103" t="e">
        <f t="shared" si="1"/>
        <v>#REF!</v>
      </c>
      <c r="G18" s="3"/>
      <c r="H18" s="8">
        <v>69262</v>
      </c>
      <c r="I18" s="9">
        <v>148556</v>
      </c>
      <c r="J18" s="8">
        <v>-79294</v>
      </c>
      <c r="K18" s="103">
        <v>-53.37650448315787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924315</v>
      </c>
      <c r="I19" s="9">
        <v>0</v>
      </c>
      <c r="J19" s="8">
        <v>924315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0</v>
      </c>
      <c r="I21" s="9">
        <v>0</v>
      </c>
      <c r="J21" s="8">
        <v>0</v>
      </c>
      <c r="K21" s="103">
        <v>0</v>
      </c>
    </row>
    <row r="22" spans="3:11" ht="13.5" thickBot="1">
      <c r="C22" s="118" t="e">
        <f>SUM(C14:C21)</f>
        <v>#REF!</v>
      </c>
      <c r="D22" s="119">
        <v>1725678</v>
      </c>
      <c r="E22" s="108" t="e">
        <f t="shared" si="0"/>
        <v>#REF!</v>
      </c>
      <c r="F22" s="120" t="e">
        <f t="shared" si="1"/>
        <v>#REF!</v>
      </c>
      <c r="G22" s="3"/>
      <c r="H22" s="108">
        <v>1202770</v>
      </c>
      <c r="I22" s="107">
        <v>1296762</v>
      </c>
      <c r="J22" s="108">
        <v>-93992</v>
      </c>
      <c r="K22" s="103">
        <v>-7.2482074582691345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3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C19" sqref="C19"/>
    </sheetView>
  </sheetViews>
  <sheetFormatPr defaultColWidth="9.140625" defaultRowHeight="12.75"/>
  <cols>
    <col min="1" max="1" width="11.57421875" style="3" bestFit="1" customWidth="1"/>
    <col min="2" max="2" width="30.8515625" style="3" bestFit="1" customWidth="1"/>
    <col min="3" max="4" width="13.00390625" style="8" bestFit="1" customWidth="1"/>
    <col min="5" max="5" width="11.421875" style="8" bestFit="1" customWidth="1"/>
    <col min="6" max="6" width="9.421875" style="103" bestFit="1" customWidth="1"/>
    <col min="7" max="7" width="6.57421875" style="103" customWidth="1"/>
    <col min="8" max="8" width="9.7109375" style="3" bestFit="1" customWidth="1"/>
    <col min="9" max="9" width="12.00390625" style="32" bestFit="1" customWidth="1"/>
    <col min="10" max="10" width="10.140625" style="3" bestFit="1" customWidth="1"/>
    <col min="11" max="11" width="9.2812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106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28881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14285</v>
      </c>
      <c r="I14" s="9">
        <v>21083</v>
      </c>
      <c r="J14" s="8">
        <v>-6798</v>
      </c>
      <c r="K14" s="103">
        <v>-32.24398804724186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12165</v>
      </c>
      <c r="E16" s="8" t="e">
        <f t="shared" si="0"/>
        <v>#REF!</v>
      </c>
      <c r="F16" s="103" t="e">
        <f t="shared" si="1"/>
        <v>#REF!</v>
      </c>
      <c r="G16" s="3"/>
      <c r="H16" s="8">
        <v>3000</v>
      </c>
      <c r="I16" s="9">
        <v>9124</v>
      </c>
      <c r="J16" s="8">
        <v>-6124</v>
      </c>
      <c r="K16" s="103">
        <v>-67.11968434896976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652558</v>
      </c>
      <c r="E17" s="8">
        <f t="shared" si="0"/>
        <v>-652558</v>
      </c>
      <c r="F17" s="103">
        <f t="shared" si="1"/>
        <v>-100</v>
      </c>
      <c r="G17" s="3"/>
      <c r="H17" s="8">
        <v>45524</v>
      </c>
      <c r="I17" s="9">
        <v>489419</v>
      </c>
      <c r="J17" s="8">
        <v>-443895</v>
      </c>
      <c r="K17" s="103">
        <v>-90.69835866609183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3206</v>
      </c>
      <c r="E18" s="8" t="e">
        <f t="shared" si="0"/>
        <v>#REF!</v>
      </c>
      <c r="F18" s="103" t="e">
        <f t="shared" si="1"/>
        <v>#REF!</v>
      </c>
      <c r="G18" s="3"/>
      <c r="H18" s="8">
        <v>2800</v>
      </c>
      <c r="I18" s="9">
        <v>2405</v>
      </c>
      <c r="J18" s="8">
        <v>395</v>
      </c>
      <c r="K18" s="103">
        <v>16.424116424116423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428118</v>
      </c>
      <c r="I19" s="9">
        <v>0</v>
      </c>
      <c r="J19" s="8">
        <v>428118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600</v>
      </c>
      <c r="I21" s="9">
        <v>0</v>
      </c>
      <c r="J21" s="8">
        <v>600</v>
      </c>
      <c r="K21" s="103">
        <v>0</v>
      </c>
    </row>
    <row r="22" spans="3:11" ht="13.5" thickBot="1">
      <c r="C22" s="118" t="e">
        <f>SUM(C14:C21)</f>
        <v>#REF!</v>
      </c>
      <c r="D22" s="119">
        <v>696810</v>
      </c>
      <c r="E22" s="108" t="e">
        <f t="shared" si="0"/>
        <v>#REF!</v>
      </c>
      <c r="F22" s="120" t="e">
        <f t="shared" si="1"/>
        <v>#REF!</v>
      </c>
      <c r="G22" s="3"/>
      <c r="H22" s="108">
        <v>494327</v>
      </c>
      <c r="I22" s="107">
        <v>522031</v>
      </c>
      <c r="J22" s="108">
        <v>-27704</v>
      </c>
      <c r="K22" s="103">
        <v>-5.306964528926443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workbookViewId="0" topLeftCell="B3">
      <selection activeCell="C19" sqref="C19"/>
    </sheetView>
  </sheetViews>
  <sheetFormatPr defaultColWidth="9.140625" defaultRowHeight="12.75"/>
  <cols>
    <col min="1" max="1" width="11.57421875" style="3" bestFit="1" customWidth="1"/>
    <col min="2" max="2" width="30.8515625" style="3" bestFit="1" customWidth="1"/>
    <col min="3" max="3" width="13.140625" style="8" bestFit="1" customWidth="1"/>
    <col min="4" max="4" width="14.421875" style="8" bestFit="1" customWidth="1"/>
    <col min="5" max="5" width="11.7109375" style="8" bestFit="1" customWidth="1"/>
    <col min="6" max="6" width="9.57421875" style="103" bestFit="1" customWidth="1"/>
    <col min="7" max="7" width="6.57421875" style="103" customWidth="1"/>
    <col min="8" max="8" width="10.57421875" style="3" bestFit="1" customWidth="1"/>
    <col min="9" max="9" width="13.421875" style="32" bestFit="1" customWidth="1"/>
    <col min="10" max="10" width="12.00390625" style="3" bestFit="1" customWidth="1"/>
    <col min="11" max="11" width="9.42187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107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123686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77913</v>
      </c>
      <c r="I14" s="9">
        <v>84106</v>
      </c>
      <c r="J14" s="8">
        <v>-6193</v>
      </c>
      <c r="K14" s="103">
        <v>-7.363327229924144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64608</v>
      </c>
      <c r="E16" s="8" t="e">
        <f t="shared" si="0"/>
        <v>#REF!</v>
      </c>
      <c r="F16" s="103" t="e">
        <f t="shared" si="1"/>
        <v>#REF!</v>
      </c>
      <c r="G16" s="3"/>
      <c r="H16" s="8">
        <v>76980</v>
      </c>
      <c r="I16" s="9">
        <v>48456</v>
      </c>
      <c r="J16" s="8">
        <v>28524</v>
      </c>
      <c r="K16" s="103">
        <v>58.86577513620605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2119541</v>
      </c>
      <c r="E17" s="8">
        <f t="shared" si="0"/>
        <v>-2119541</v>
      </c>
      <c r="F17" s="103">
        <f t="shared" si="1"/>
        <v>-100</v>
      </c>
      <c r="G17" s="3"/>
      <c r="H17" s="8">
        <v>250315</v>
      </c>
      <c r="I17" s="9">
        <v>1589656</v>
      </c>
      <c r="J17" s="8">
        <v>-1339341</v>
      </c>
      <c r="K17" s="103">
        <v>-84.25351145153417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427856</v>
      </c>
      <c r="E18" s="8" t="e">
        <f t="shared" si="0"/>
        <v>#REF!</v>
      </c>
      <c r="F18" s="103" t="e">
        <f t="shared" si="1"/>
        <v>#REF!</v>
      </c>
      <c r="G18" s="3"/>
      <c r="H18" s="8">
        <v>150161</v>
      </c>
      <c r="I18" s="9">
        <v>320892</v>
      </c>
      <c r="J18" s="8">
        <v>-170731</v>
      </c>
      <c r="K18" s="103">
        <v>-53.205128205128204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1306150</v>
      </c>
      <c r="I19" s="9">
        <v>0</v>
      </c>
      <c r="J19" s="8">
        <v>1306150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1600</v>
      </c>
      <c r="I21" s="9">
        <v>0</v>
      </c>
      <c r="J21" s="8">
        <v>1600</v>
      </c>
      <c r="K21" s="103">
        <v>0</v>
      </c>
    </row>
    <row r="22" spans="3:11" ht="13.5" thickBot="1">
      <c r="C22" s="118" t="e">
        <f>SUM(C14:C21)</f>
        <v>#REF!</v>
      </c>
      <c r="D22" s="119">
        <v>2735691</v>
      </c>
      <c r="E22" s="108" t="e">
        <f t="shared" si="0"/>
        <v>#REF!</v>
      </c>
      <c r="F22" s="120" t="e">
        <f t="shared" si="1"/>
        <v>#REF!</v>
      </c>
      <c r="G22" s="3"/>
      <c r="H22" s="108">
        <v>1863119</v>
      </c>
      <c r="I22" s="107">
        <v>2043110</v>
      </c>
      <c r="J22" s="108">
        <v>-179991</v>
      </c>
      <c r="K22" s="103">
        <v>-8.809657825569841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2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9" sqref="C19"/>
    </sheetView>
  </sheetViews>
  <sheetFormatPr defaultColWidth="9.140625" defaultRowHeight="12.75"/>
  <cols>
    <col min="1" max="1" width="11.7109375" style="3" bestFit="1" customWidth="1"/>
    <col min="2" max="2" width="30.8515625" style="3" bestFit="1" customWidth="1"/>
    <col min="3" max="4" width="13.00390625" style="8" bestFit="1" customWidth="1"/>
    <col min="5" max="5" width="11.421875" style="8" bestFit="1" customWidth="1"/>
    <col min="6" max="6" width="9.8515625" style="103" bestFit="1" customWidth="1"/>
    <col min="7" max="7" width="6.57421875" style="103" customWidth="1"/>
    <col min="8" max="8" width="9.8515625" style="3" bestFit="1" customWidth="1"/>
    <col min="9" max="9" width="10.57421875" style="32" bestFit="1" customWidth="1"/>
    <col min="10" max="10" width="10.421875" style="3" bestFit="1" customWidth="1"/>
    <col min="11" max="11" width="9.2812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108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2088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1598</v>
      </c>
      <c r="I14" s="9">
        <v>1566</v>
      </c>
      <c r="J14" s="8">
        <v>32</v>
      </c>
      <c r="K14" s="103">
        <v>2.0434227330779056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585</v>
      </c>
      <c r="E16" s="8" t="e">
        <f t="shared" si="0"/>
        <v>#REF!</v>
      </c>
      <c r="F16" s="103" t="e">
        <f t="shared" si="1"/>
        <v>#REF!</v>
      </c>
      <c r="G16" s="3"/>
      <c r="H16" s="8">
        <v>360</v>
      </c>
      <c r="I16" s="9">
        <v>439</v>
      </c>
      <c r="J16" s="8">
        <v>-79</v>
      </c>
      <c r="K16" s="103">
        <v>-17.995444191343964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50572</v>
      </c>
      <c r="E17" s="8">
        <f t="shared" si="0"/>
        <v>-50572</v>
      </c>
      <c r="F17" s="103">
        <f t="shared" si="1"/>
        <v>-100</v>
      </c>
      <c r="G17" s="3"/>
      <c r="H17" s="8">
        <v>8115</v>
      </c>
      <c r="I17" s="9">
        <v>37929</v>
      </c>
      <c r="J17" s="8">
        <v>-29814</v>
      </c>
      <c r="K17" s="103">
        <v>-78.60476152811833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1069</v>
      </c>
      <c r="E18" s="8" t="e">
        <f t="shared" si="0"/>
        <v>#REF!</v>
      </c>
      <c r="F18" s="103" t="e">
        <f t="shared" si="1"/>
        <v>#REF!</v>
      </c>
      <c r="G18" s="3"/>
      <c r="H18" s="8">
        <v>1200</v>
      </c>
      <c r="I18" s="9">
        <v>802</v>
      </c>
      <c r="J18" s="8">
        <v>398</v>
      </c>
      <c r="K18" s="103">
        <v>49.62593516209476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24945</v>
      </c>
      <c r="I19" s="9">
        <v>0</v>
      </c>
      <c r="J19" s="8">
        <v>24945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0</v>
      </c>
      <c r="I21" s="9">
        <v>0</v>
      </c>
      <c r="J21" s="8">
        <v>0</v>
      </c>
      <c r="K21" s="103">
        <v>0</v>
      </c>
    </row>
    <row r="22" spans="3:11" ht="13.5" thickBot="1">
      <c r="C22" s="118" t="e">
        <f>SUM(C14:C21)</f>
        <v>#REF!</v>
      </c>
      <c r="D22" s="119">
        <v>54314</v>
      </c>
      <c r="E22" s="108" t="e">
        <f t="shared" si="0"/>
        <v>#REF!</v>
      </c>
      <c r="F22" s="120" t="e">
        <f t="shared" si="1"/>
        <v>#REF!</v>
      </c>
      <c r="G22" s="3"/>
      <c r="H22" s="108">
        <v>36218</v>
      </c>
      <c r="I22" s="107">
        <v>40736</v>
      </c>
      <c r="J22" s="108">
        <v>-4518</v>
      </c>
      <c r="K22" s="103">
        <v>-11.090926944226236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7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1">
      <selection activeCell="C19" sqref="C19"/>
    </sheetView>
  </sheetViews>
  <sheetFormatPr defaultColWidth="9.140625" defaultRowHeight="12.75"/>
  <cols>
    <col min="1" max="1" width="11.8515625" style="3" bestFit="1" customWidth="1"/>
    <col min="2" max="2" width="30.8515625" style="3" bestFit="1" customWidth="1"/>
    <col min="3" max="3" width="13.140625" style="8" bestFit="1" customWidth="1"/>
    <col min="4" max="4" width="14.7109375" style="8" bestFit="1" customWidth="1"/>
    <col min="5" max="5" width="11.7109375" style="8" bestFit="1" customWidth="1"/>
    <col min="6" max="6" width="10.00390625" style="103" bestFit="1" customWidth="1"/>
    <col min="7" max="7" width="6.57421875" style="103" customWidth="1"/>
    <col min="8" max="8" width="10.00390625" style="3" bestFit="1" customWidth="1"/>
    <col min="9" max="9" width="12.00390625" style="32" bestFit="1" customWidth="1"/>
    <col min="10" max="10" width="10.7109375" style="3" bestFit="1" customWidth="1"/>
    <col min="11" max="11" width="9.42187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109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54740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55368</v>
      </c>
      <c r="I14" s="9">
        <v>39960</v>
      </c>
      <c r="J14" s="8">
        <v>15408</v>
      </c>
      <c r="K14" s="103">
        <v>38.55855855855856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3615</v>
      </c>
      <c r="E16" s="8" t="e">
        <f t="shared" si="0"/>
        <v>#REF!</v>
      </c>
      <c r="F16" s="103" t="e">
        <f t="shared" si="1"/>
        <v>#REF!</v>
      </c>
      <c r="G16" s="3"/>
      <c r="H16" s="8">
        <v>25140</v>
      </c>
      <c r="I16" s="9">
        <v>2711</v>
      </c>
      <c r="J16" s="8">
        <v>22429</v>
      </c>
      <c r="K16" s="103">
        <v>827.3330874216157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1239540</v>
      </c>
      <c r="E17" s="8">
        <f t="shared" si="0"/>
        <v>-1239540</v>
      </c>
      <c r="F17" s="103">
        <f t="shared" si="1"/>
        <v>-100</v>
      </c>
      <c r="G17" s="3"/>
      <c r="H17" s="8">
        <v>111133</v>
      </c>
      <c r="I17" s="9">
        <v>929655</v>
      </c>
      <c r="J17" s="8">
        <v>-818522</v>
      </c>
      <c r="K17" s="103">
        <v>-88.0457804239207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161025</v>
      </c>
      <c r="E18" s="8" t="e">
        <f t="shared" si="0"/>
        <v>#REF!</v>
      </c>
      <c r="F18" s="103" t="e">
        <f t="shared" si="1"/>
        <v>#REF!</v>
      </c>
      <c r="G18" s="3"/>
      <c r="H18" s="8">
        <v>118006</v>
      </c>
      <c r="I18" s="9">
        <v>120769</v>
      </c>
      <c r="J18" s="8">
        <v>-2763</v>
      </c>
      <c r="K18" s="103">
        <v>-2.2878387665708915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824958</v>
      </c>
      <c r="I19" s="9">
        <v>0</v>
      </c>
      <c r="J19" s="8">
        <v>824958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0</v>
      </c>
      <c r="I21" s="9">
        <v>0</v>
      </c>
      <c r="J21" s="8">
        <v>0</v>
      </c>
      <c r="K21" s="103">
        <v>0</v>
      </c>
    </row>
    <row r="22" spans="3:11" ht="13.5" thickBot="1">
      <c r="C22" s="118" t="e">
        <f>SUM(C14:C21)</f>
        <v>#REF!</v>
      </c>
      <c r="D22" s="119">
        <v>1458920</v>
      </c>
      <c r="E22" s="108" t="e">
        <f t="shared" si="0"/>
        <v>#REF!</v>
      </c>
      <c r="F22" s="120" t="e">
        <f t="shared" si="1"/>
        <v>#REF!</v>
      </c>
      <c r="G22" s="3"/>
      <c r="H22" s="108">
        <v>1134605</v>
      </c>
      <c r="I22" s="107">
        <v>1093095</v>
      </c>
      <c r="J22" s="108">
        <v>41510</v>
      </c>
      <c r="K22" s="103">
        <v>3.7974741445162588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4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4">
      <selection activeCell="C19" sqref="C19"/>
    </sheetView>
  </sheetViews>
  <sheetFormatPr defaultColWidth="9.140625" defaultRowHeight="12.75"/>
  <cols>
    <col min="1" max="1" width="11.7109375" style="3" bestFit="1" customWidth="1"/>
    <col min="2" max="2" width="30.8515625" style="3" bestFit="1" customWidth="1"/>
    <col min="3" max="4" width="13.00390625" style="8" bestFit="1" customWidth="1"/>
    <col min="5" max="5" width="11.421875" style="8" bestFit="1" customWidth="1"/>
    <col min="6" max="6" width="9.8515625" style="103" bestFit="1" customWidth="1"/>
    <col min="7" max="7" width="6.57421875" style="103" customWidth="1"/>
    <col min="8" max="8" width="9.8515625" style="3" bestFit="1" customWidth="1"/>
    <col min="9" max="9" width="11.57421875" style="32" bestFit="1" customWidth="1"/>
    <col min="10" max="10" width="10.421875" style="3" bestFit="1" customWidth="1"/>
    <col min="11" max="11" width="9.2812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110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#REF!*1000+#REF!*1000</f>
        <v>#REF!</v>
      </c>
      <c r="D14" s="99">
        <v>23095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16185</v>
      </c>
      <c r="I14" s="9">
        <v>17321</v>
      </c>
      <c r="J14" s="8">
        <v>-1136</v>
      </c>
      <c r="K14" s="103">
        <v>-6.5585127879452685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6150</v>
      </c>
      <c r="E16" s="8" t="e">
        <f t="shared" si="0"/>
        <v>#REF!</v>
      </c>
      <c r="F16" s="103" t="e">
        <f t="shared" si="1"/>
        <v>#REF!</v>
      </c>
      <c r="G16" s="3"/>
      <c r="H16" s="8">
        <v>4920</v>
      </c>
      <c r="I16" s="9">
        <v>4613</v>
      </c>
      <c r="J16" s="8">
        <v>307</v>
      </c>
      <c r="K16" s="103">
        <v>6.655105137654455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595792</v>
      </c>
      <c r="E17" s="8">
        <f t="shared" si="0"/>
        <v>-595792</v>
      </c>
      <c r="F17" s="103">
        <f t="shared" si="1"/>
        <v>-100</v>
      </c>
      <c r="G17" s="3"/>
      <c r="H17" s="8">
        <v>101451</v>
      </c>
      <c r="I17" s="9">
        <v>446844</v>
      </c>
      <c r="J17" s="8">
        <v>-345393</v>
      </c>
      <c r="K17" s="103">
        <v>-77.29610333807771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60206</v>
      </c>
      <c r="E18" s="8" t="e">
        <f t="shared" si="0"/>
        <v>#REF!</v>
      </c>
      <c r="F18" s="103" t="e">
        <f t="shared" si="1"/>
        <v>#REF!</v>
      </c>
      <c r="G18" s="3"/>
      <c r="H18" s="8">
        <v>25400</v>
      </c>
      <c r="I18" s="9">
        <v>45155</v>
      </c>
      <c r="J18" s="8">
        <v>-19755</v>
      </c>
      <c r="K18" s="103">
        <v>-43.74930793932012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334478</v>
      </c>
      <c r="I19" s="9">
        <v>0</v>
      </c>
      <c r="J19" s="8">
        <v>334478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0</v>
      </c>
      <c r="I21" s="9">
        <v>0</v>
      </c>
      <c r="J21" s="8">
        <v>0</v>
      </c>
      <c r="K21" s="103">
        <v>0</v>
      </c>
    </row>
    <row r="22" spans="3:11" ht="13.5" thickBot="1">
      <c r="C22" s="118" t="e">
        <f>SUM(C14:C21)</f>
        <v>#REF!</v>
      </c>
      <c r="D22" s="119">
        <v>685243</v>
      </c>
      <c r="E22" s="108" t="e">
        <f t="shared" si="0"/>
        <v>#REF!</v>
      </c>
      <c r="F22" s="120" t="e">
        <f t="shared" si="1"/>
        <v>#REF!</v>
      </c>
      <c r="G22" s="3"/>
      <c r="H22" s="108">
        <v>482434</v>
      </c>
      <c r="I22" s="107">
        <v>513933</v>
      </c>
      <c r="J22" s="108">
        <v>-31499</v>
      </c>
      <c r="K22" s="103">
        <v>-6.129009034251546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6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9" sqref="C19"/>
    </sheetView>
  </sheetViews>
  <sheetFormatPr defaultColWidth="9.140625" defaultRowHeight="12.75"/>
  <cols>
    <col min="1" max="1" width="11.8515625" style="3" bestFit="1" customWidth="1"/>
    <col min="2" max="2" width="30.8515625" style="3" bestFit="1" customWidth="1"/>
    <col min="3" max="3" width="13.140625" style="8" bestFit="1" customWidth="1"/>
    <col min="4" max="4" width="13.28125" style="8" bestFit="1" customWidth="1"/>
    <col min="5" max="5" width="11.57421875" style="8" bestFit="1" customWidth="1"/>
    <col min="6" max="6" width="10.00390625" style="103" bestFit="1" customWidth="1"/>
    <col min="7" max="7" width="6.57421875" style="103" customWidth="1"/>
    <col min="8" max="8" width="10.00390625" style="3" bestFit="1" customWidth="1"/>
    <col min="9" max="9" width="12.140625" style="32" bestFit="1" customWidth="1"/>
    <col min="10" max="10" width="10.57421875" style="3" bestFit="1" customWidth="1"/>
    <col min="11" max="11" width="9.421875" style="3" bestFit="1" customWidth="1"/>
    <col min="12" max="16384" width="9.140625" style="3" customWidth="1"/>
  </cols>
  <sheetData>
    <row r="1" spans="2:9" s="4" customFormat="1" ht="12.75">
      <c r="B1" s="4" t="s">
        <v>34</v>
      </c>
      <c r="C1" s="5"/>
      <c r="D1" s="5"/>
      <c r="E1" s="5"/>
      <c r="F1" s="100"/>
      <c r="G1" s="100"/>
      <c r="I1" s="109"/>
    </row>
    <row r="2" spans="3:9" s="4" customFormat="1" ht="12.75">
      <c r="C2" s="5"/>
      <c r="D2" s="5"/>
      <c r="E2" s="5"/>
      <c r="F2" s="100"/>
      <c r="G2" s="100"/>
      <c r="I2" s="109"/>
    </row>
    <row r="3" spans="2:9" s="4" customFormat="1" ht="12.75">
      <c r="B3" s="4" t="str">
        <f>'DETAILED SUMMARY'!A3</f>
        <v>BUDGET FOR YEAR TO 31 MARCH 2010</v>
      </c>
      <c r="C3" s="5"/>
      <c r="D3" s="5"/>
      <c r="E3" s="5"/>
      <c r="F3" s="100"/>
      <c r="G3" s="100"/>
      <c r="I3" s="109"/>
    </row>
    <row r="4" spans="3:9" s="4" customFormat="1" ht="12.75">
      <c r="C4" s="5"/>
      <c r="D4" s="5"/>
      <c r="E4" s="5"/>
      <c r="F4" s="100"/>
      <c r="G4" s="100"/>
      <c r="I4" s="109"/>
    </row>
    <row r="5" spans="2:9" s="4" customFormat="1" ht="12.75">
      <c r="B5" s="4" t="s">
        <v>134</v>
      </c>
      <c r="C5" s="425" t="s">
        <v>236</v>
      </c>
      <c r="D5" s="426"/>
      <c r="E5" s="426"/>
      <c r="F5" s="426"/>
      <c r="G5" s="427"/>
      <c r="H5" s="110"/>
      <c r="I5" s="109"/>
    </row>
    <row r="6" spans="1:9" s="4" customFormat="1" ht="12.75">
      <c r="A6" s="111">
        <v>101</v>
      </c>
      <c r="B6" s="4" t="s">
        <v>36</v>
      </c>
      <c r="C6" s="5"/>
      <c r="D6" s="5"/>
      <c r="E6" s="5"/>
      <c r="F6" s="100"/>
      <c r="G6" s="100"/>
      <c r="I6" s="109"/>
    </row>
    <row r="7" spans="3:9" s="4" customFormat="1" ht="12.75">
      <c r="C7" s="5"/>
      <c r="D7" s="5"/>
      <c r="E7" s="5"/>
      <c r="F7" s="100"/>
      <c r="G7" s="100"/>
      <c r="I7" s="109"/>
    </row>
    <row r="8" spans="2:9" s="4" customFormat="1" ht="12.75">
      <c r="B8" s="4" t="s">
        <v>37</v>
      </c>
      <c r="C8" s="112"/>
      <c r="D8" s="113"/>
      <c r="E8" s="114"/>
      <c r="F8" s="100"/>
      <c r="G8" s="100"/>
      <c r="I8" s="109"/>
    </row>
    <row r="9" spans="3:9" s="4" customFormat="1" ht="12.75">
      <c r="C9" s="5"/>
      <c r="D9" s="5"/>
      <c r="E9" s="5"/>
      <c r="F9" s="100"/>
      <c r="G9" s="100"/>
      <c r="I9" s="115"/>
    </row>
    <row r="10" spans="3:11" s="6" customFormat="1" ht="36.75" customHeight="1">
      <c r="C10" s="104" t="s">
        <v>271</v>
      </c>
      <c r="D10" s="105" t="s">
        <v>272</v>
      </c>
      <c r="E10" s="4"/>
      <c r="F10" s="4"/>
      <c r="G10" s="4"/>
      <c r="H10" s="428" t="s">
        <v>365</v>
      </c>
      <c r="I10" s="428"/>
      <c r="J10" s="428"/>
      <c r="K10" s="428"/>
    </row>
    <row r="11" spans="3:11" s="6" customFormat="1" ht="12.75">
      <c r="C11" s="6" t="s">
        <v>38</v>
      </c>
      <c r="D11" s="102" t="s">
        <v>38</v>
      </c>
      <c r="E11" s="4" t="s">
        <v>39</v>
      </c>
      <c r="F11" s="4" t="s">
        <v>39</v>
      </c>
      <c r="G11" s="4"/>
      <c r="H11" s="101" t="s">
        <v>141</v>
      </c>
      <c r="I11" s="7" t="s">
        <v>38</v>
      </c>
      <c r="J11" s="7" t="s">
        <v>39</v>
      </c>
      <c r="K11" s="102" t="s">
        <v>39</v>
      </c>
    </row>
    <row r="12" spans="3:11" s="4" customFormat="1" ht="12.75">
      <c r="C12" s="6" t="s">
        <v>40</v>
      </c>
      <c r="D12" s="102" t="s">
        <v>40</v>
      </c>
      <c r="E12" s="6" t="s">
        <v>40</v>
      </c>
      <c r="F12" s="6" t="s">
        <v>41</v>
      </c>
      <c r="G12" s="6"/>
      <c r="H12" s="7" t="s">
        <v>40</v>
      </c>
      <c r="I12" s="7" t="s">
        <v>40</v>
      </c>
      <c r="J12" s="7" t="s">
        <v>40</v>
      </c>
      <c r="K12" s="102" t="s">
        <v>41</v>
      </c>
    </row>
    <row r="13" spans="2:11" s="4" customFormat="1" ht="12.75">
      <c r="B13" s="4" t="s">
        <v>96</v>
      </c>
      <c r="H13" s="5"/>
      <c r="I13" s="5"/>
      <c r="J13" s="5"/>
      <c r="K13" s="100"/>
    </row>
    <row r="14" spans="1:11" ht="12.75">
      <c r="A14" s="3" t="s">
        <v>157</v>
      </c>
      <c r="B14" s="3" t="s">
        <v>97</v>
      </c>
      <c r="C14" s="106" t="e">
        <f>#REF!*1000</f>
        <v>#REF!</v>
      </c>
      <c r="D14" s="99">
        <v>7344</v>
      </c>
      <c r="E14" s="8" t="e">
        <f aca="true" t="shared" si="0" ref="E14:E22">C14-D14</f>
        <v>#REF!</v>
      </c>
      <c r="F14" s="103" t="e">
        <f aca="true" t="shared" si="1" ref="F14:F22">IF(D14=0,0,(E14/D14*100))</f>
        <v>#REF!</v>
      </c>
      <c r="G14" s="3"/>
      <c r="H14" s="8">
        <v>8793</v>
      </c>
      <c r="I14" s="9">
        <v>6169</v>
      </c>
      <c r="J14" s="8">
        <v>2624</v>
      </c>
      <c r="K14" s="103">
        <v>42.535256929810345</v>
      </c>
    </row>
    <row r="15" spans="1:11" ht="12.75">
      <c r="A15" s="3" t="s">
        <v>158</v>
      </c>
      <c r="B15" s="3" t="s">
        <v>98</v>
      </c>
      <c r="C15" s="106">
        <v>0</v>
      </c>
      <c r="D15" s="99">
        <v>0</v>
      </c>
      <c r="E15" s="8">
        <f t="shared" si="0"/>
        <v>0</v>
      </c>
      <c r="F15" s="103">
        <f t="shared" si="1"/>
        <v>0</v>
      </c>
      <c r="G15" s="3"/>
      <c r="H15" s="8">
        <v>0</v>
      </c>
      <c r="I15" s="9">
        <v>0</v>
      </c>
      <c r="J15" s="8">
        <v>0</v>
      </c>
      <c r="K15" s="103">
        <v>0</v>
      </c>
    </row>
    <row r="16" spans="1:11" ht="12.75">
      <c r="A16" s="3" t="s">
        <v>159</v>
      </c>
      <c r="B16" s="3" t="s">
        <v>195</v>
      </c>
      <c r="C16" s="106" t="e">
        <f>#REF!*1000</f>
        <v>#REF!</v>
      </c>
      <c r="D16" s="99">
        <v>19200</v>
      </c>
      <c r="E16" s="8" t="e">
        <f t="shared" si="0"/>
        <v>#REF!</v>
      </c>
      <c r="F16" s="103" t="e">
        <f t="shared" si="1"/>
        <v>#REF!</v>
      </c>
      <c r="G16" s="3"/>
      <c r="H16" s="8">
        <v>17640</v>
      </c>
      <c r="I16" s="9">
        <v>14400</v>
      </c>
      <c r="J16" s="8">
        <v>3240</v>
      </c>
      <c r="K16" s="103">
        <v>22.5</v>
      </c>
    </row>
    <row r="17" spans="1:11" ht="12.75">
      <c r="A17" s="3" t="s">
        <v>160</v>
      </c>
      <c r="B17" s="3" t="s">
        <v>214</v>
      </c>
      <c r="C17" s="106">
        <f>0*1000</f>
        <v>0</v>
      </c>
      <c r="D17" s="99">
        <v>456864</v>
      </c>
      <c r="E17" s="8">
        <f t="shared" si="0"/>
        <v>-456864</v>
      </c>
      <c r="F17" s="103">
        <f t="shared" si="1"/>
        <v>-100</v>
      </c>
      <c r="G17" s="3"/>
      <c r="H17" s="8">
        <v>92835</v>
      </c>
      <c r="I17" s="9">
        <v>342648</v>
      </c>
      <c r="J17" s="8">
        <v>-249813</v>
      </c>
      <c r="K17" s="103">
        <v>-72.90659802479512</v>
      </c>
    </row>
    <row r="18" spans="1:11" ht="12.75">
      <c r="A18" s="3" t="s">
        <v>161</v>
      </c>
      <c r="B18" s="3" t="s">
        <v>196</v>
      </c>
      <c r="C18" s="106" t="e">
        <f>#REF!*1000</f>
        <v>#REF!</v>
      </c>
      <c r="D18" s="99">
        <v>0</v>
      </c>
      <c r="E18" s="8" t="e">
        <f t="shared" si="0"/>
        <v>#REF!</v>
      </c>
      <c r="F18" s="103">
        <f t="shared" si="1"/>
        <v>0</v>
      </c>
      <c r="G18" s="3"/>
      <c r="H18" s="8">
        <v>3200</v>
      </c>
      <c r="I18" s="9">
        <v>0</v>
      </c>
      <c r="J18" s="8">
        <v>3200</v>
      </c>
      <c r="K18" s="103">
        <v>0</v>
      </c>
    </row>
    <row r="19" spans="1:11" ht="12.75">
      <c r="A19" s="3" t="s">
        <v>162</v>
      </c>
      <c r="B19" s="3" t="s">
        <v>211</v>
      </c>
      <c r="C19" s="106" t="e">
        <f>#REF!*1000</f>
        <v>#REF!</v>
      </c>
      <c r="D19" s="99">
        <v>0</v>
      </c>
      <c r="E19" s="8" t="e">
        <f t="shared" si="0"/>
        <v>#REF!</v>
      </c>
      <c r="F19" s="103">
        <f t="shared" si="1"/>
        <v>0</v>
      </c>
      <c r="G19" s="3"/>
      <c r="H19" s="8">
        <v>256090</v>
      </c>
      <c r="I19" s="9">
        <v>0</v>
      </c>
      <c r="J19" s="8">
        <v>256090</v>
      </c>
      <c r="K19" s="103">
        <v>0</v>
      </c>
    </row>
    <row r="20" spans="1:11" ht="12.75">
      <c r="A20" s="3" t="s">
        <v>163</v>
      </c>
      <c r="B20" s="3" t="s">
        <v>99</v>
      </c>
      <c r="C20" s="106"/>
      <c r="D20" s="99">
        <v>0</v>
      </c>
      <c r="E20" s="8">
        <f t="shared" si="0"/>
        <v>0</v>
      </c>
      <c r="F20" s="103">
        <f t="shared" si="1"/>
        <v>0</v>
      </c>
      <c r="G20" s="3"/>
      <c r="H20" s="8">
        <v>0</v>
      </c>
      <c r="I20" s="9">
        <v>0</v>
      </c>
      <c r="J20" s="8">
        <v>0</v>
      </c>
      <c r="K20" s="103">
        <v>0</v>
      </c>
    </row>
    <row r="21" spans="1:11" ht="12.75">
      <c r="A21" s="3" t="s">
        <v>164</v>
      </c>
      <c r="B21" s="3" t="s">
        <v>197</v>
      </c>
      <c r="C21" s="106">
        <v>0</v>
      </c>
      <c r="D21" s="99">
        <v>0</v>
      </c>
      <c r="E21" s="8">
        <f t="shared" si="0"/>
        <v>0</v>
      </c>
      <c r="F21" s="103">
        <f t="shared" si="1"/>
        <v>0</v>
      </c>
      <c r="G21" s="3"/>
      <c r="H21" s="8">
        <v>1800</v>
      </c>
      <c r="I21" s="9">
        <v>0</v>
      </c>
      <c r="J21" s="8">
        <v>1800</v>
      </c>
      <c r="K21" s="103">
        <v>0</v>
      </c>
    </row>
    <row r="22" spans="3:11" ht="13.5" thickBot="1">
      <c r="C22" s="118" t="e">
        <f>SUM(C14:C21)</f>
        <v>#REF!</v>
      </c>
      <c r="D22" s="119">
        <v>483408</v>
      </c>
      <c r="E22" s="108" t="e">
        <f t="shared" si="0"/>
        <v>#REF!</v>
      </c>
      <c r="F22" s="120" t="e">
        <f t="shared" si="1"/>
        <v>#REF!</v>
      </c>
      <c r="G22" s="3"/>
      <c r="H22" s="108">
        <v>380358</v>
      </c>
      <c r="I22" s="107">
        <v>363217</v>
      </c>
      <c r="J22" s="108">
        <v>17141</v>
      </c>
      <c r="K22" s="103">
        <v>4.719217437509808</v>
      </c>
    </row>
    <row r="23" ht="13.5" thickTop="1">
      <c r="H23" s="8"/>
    </row>
  </sheetData>
  <mergeCells count="2">
    <mergeCell ref="H10:K10"/>
    <mergeCell ref="C5:G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&amp;LBudget 2007/08&amp;CVersion 6
</oddHeader>
    <oddFooter>&amp;L&amp;8&amp;F/&amp;A/&amp;D/&amp;T&amp;R&amp;8Page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7"/>
  </sheetPr>
  <dimension ref="A1:M22"/>
  <sheetViews>
    <sheetView zoomScale="90" zoomScaleNormal="90" workbookViewId="0" topLeftCell="A1">
      <selection activeCell="G14" sqref="G14"/>
    </sheetView>
  </sheetViews>
  <sheetFormatPr defaultColWidth="9.140625" defaultRowHeight="12.75"/>
  <cols>
    <col min="1" max="1" width="17.8515625" style="2" customWidth="1"/>
    <col min="2" max="2" width="29.7109375" style="2" bestFit="1" customWidth="1"/>
    <col min="3" max="3" width="10.421875" style="146" bestFit="1" customWidth="1"/>
    <col min="4" max="4" width="4.7109375" style="146" customWidth="1"/>
    <col min="5" max="5" width="10.8515625" style="127" bestFit="1" customWidth="1"/>
    <col min="6" max="6" width="3.421875" style="127" customWidth="1"/>
    <col min="7" max="7" width="10.00390625" style="146" customWidth="1"/>
    <col min="8" max="8" width="4.140625" style="2" customWidth="1"/>
    <col min="9" max="11" width="10.00390625" style="2" hidden="1" customWidth="1"/>
    <col min="12" max="13" width="2.57421875" style="2" customWidth="1"/>
    <col min="14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89</v>
      </c>
    </row>
    <row r="5" spans="1:7" s="1" customFormat="1" ht="12.75">
      <c r="A5" s="129" t="s">
        <v>36</v>
      </c>
      <c r="B5" s="128" t="s">
        <v>3</v>
      </c>
      <c r="G5" s="127"/>
    </row>
    <row r="6" spans="1:7" s="1" customFormat="1" ht="12.75">
      <c r="A6" s="128" t="s">
        <v>37</v>
      </c>
      <c r="B6" s="128" t="s">
        <v>261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11" s="1" customFormat="1" ht="12.75">
      <c r="C8" s="132" t="s">
        <v>38</v>
      </c>
      <c r="D8" s="133"/>
      <c r="E8" s="132" t="s">
        <v>476</v>
      </c>
      <c r="F8" s="134"/>
      <c r="G8" s="162"/>
      <c r="I8" s="429" t="s">
        <v>363</v>
      </c>
      <c r="J8" s="430"/>
      <c r="K8" s="402"/>
    </row>
    <row r="9" spans="2:11" s="136" customFormat="1" ht="12.75">
      <c r="B9" s="137"/>
      <c r="C9" s="138" t="s">
        <v>494</v>
      </c>
      <c r="D9" s="139"/>
      <c r="E9" s="138" t="s">
        <v>279</v>
      </c>
      <c r="F9" s="160"/>
      <c r="G9" s="140" t="s">
        <v>39</v>
      </c>
      <c r="I9" s="143" t="s">
        <v>141</v>
      </c>
      <c r="J9" s="143" t="s">
        <v>13</v>
      </c>
      <c r="K9" s="143" t="s">
        <v>39</v>
      </c>
    </row>
    <row r="10" spans="3:11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  <c r="I10" s="136" t="s">
        <v>40</v>
      </c>
      <c r="J10" s="136" t="s">
        <v>40</v>
      </c>
      <c r="K10" s="136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13" ht="12.75">
      <c r="A12" s="145"/>
      <c r="E12" s="146"/>
      <c r="F12" s="147"/>
      <c r="G12" s="148"/>
      <c r="H12" s="149"/>
      <c r="I12" s="148"/>
      <c r="J12" s="147"/>
      <c r="K12" s="148"/>
      <c r="L12" s="149"/>
      <c r="M12" s="149"/>
    </row>
    <row r="13" spans="1:11" ht="12.75">
      <c r="A13" s="145"/>
      <c r="B13" s="145" t="s">
        <v>74</v>
      </c>
      <c r="C13" s="146">
        <v>37200</v>
      </c>
      <c r="E13" s="151">
        <v>37200</v>
      </c>
      <c r="F13" s="147"/>
      <c r="G13" s="146">
        <f>C13-E13</f>
        <v>0</v>
      </c>
      <c r="I13" s="146">
        <v>18240</v>
      </c>
      <c r="J13" s="151">
        <v>21000</v>
      </c>
      <c r="K13" s="146">
        <v>2760</v>
      </c>
    </row>
    <row r="14" spans="1:11" ht="12.75">
      <c r="A14" s="145"/>
      <c r="B14" s="2" t="s">
        <v>47</v>
      </c>
      <c r="C14" s="146">
        <v>5400</v>
      </c>
      <c r="E14" s="151">
        <v>5400</v>
      </c>
      <c r="F14" s="147"/>
      <c r="G14" s="146">
        <f>C14-E14</f>
        <v>0</v>
      </c>
      <c r="I14" s="146">
        <v>5989.96</v>
      </c>
      <c r="J14" s="151">
        <v>13500</v>
      </c>
      <c r="K14" s="146">
        <v>7510</v>
      </c>
    </row>
    <row r="15" spans="1:11" ht="12.75">
      <c r="A15" s="145"/>
      <c r="B15" s="145" t="s">
        <v>560</v>
      </c>
      <c r="C15" s="146">
        <v>3000</v>
      </c>
      <c r="E15" s="151">
        <v>3000</v>
      </c>
      <c r="F15" s="147"/>
      <c r="I15" s="146"/>
      <c r="J15" s="151"/>
      <c r="K15" s="146"/>
    </row>
    <row r="16" spans="1:11" ht="12.75">
      <c r="A16" s="145"/>
      <c r="B16" s="1" t="s">
        <v>15</v>
      </c>
      <c r="C16" s="153">
        <f>SUM(C13:C15)</f>
        <v>45600</v>
      </c>
      <c r="D16" s="153"/>
      <c r="E16" s="123">
        <v>45600</v>
      </c>
      <c r="F16" s="154"/>
      <c r="G16" s="153">
        <f>C16-E16</f>
        <v>0</v>
      </c>
      <c r="I16" s="153">
        <v>30327.69</v>
      </c>
      <c r="J16" s="123">
        <v>34500</v>
      </c>
      <c r="K16" s="153">
        <v>4172.31</v>
      </c>
    </row>
    <row r="17" spans="1:13" ht="12.75">
      <c r="A17" s="145"/>
      <c r="E17" s="146"/>
      <c r="F17" s="147"/>
      <c r="G17" s="148"/>
      <c r="H17" s="149"/>
      <c r="I17" s="148"/>
      <c r="J17" s="147"/>
      <c r="K17" s="148"/>
      <c r="L17" s="149"/>
      <c r="M17" s="149"/>
    </row>
    <row r="18" spans="1:13" ht="12.75">
      <c r="A18" s="145"/>
      <c r="B18" s="2" t="s">
        <v>22</v>
      </c>
      <c r="C18" s="146">
        <v>3000</v>
      </c>
      <c r="E18" s="151">
        <v>3000</v>
      </c>
      <c r="F18" s="147"/>
      <c r="G18" s="146">
        <f>C18-E18</f>
        <v>0</v>
      </c>
      <c r="H18" s="149"/>
      <c r="I18" s="148">
        <v>0</v>
      </c>
      <c r="J18" s="151">
        <v>0</v>
      </c>
      <c r="K18" s="148">
        <v>0</v>
      </c>
      <c r="L18" s="149"/>
      <c r="M18" s="149"/>
    </row>
    <row r="19" spans="1:11" ht="12.75">
      <c r="A19" s="145"/>
      <c r="B19" s="2" t="s">
        <v>66</v>
      </c>
      <c r="C19" s="146">
        <v>832.53</v>
      </c>
      <c r="E19" s="151">
        <v>832.53</v>
      </c>
      <c r="F19" s="147"/>
      <c r="G19" s="146">
        <f>C19-E19</f>
        <v>0</v>
      </c>
      <c r="I19" s="146">
        <v>387.63</v>
      </c>
      <c r="J19" s="151">
        <v>375</v>
      </c>
      <c r="K19" s="146">
        <v>-13</v>
      </c>
    </row>
    <row r="20" spans="1:11" ht="12.75">
      <c r="A20" s="145"/>
      <c r="B20" s="1" t="s">
        <v>16</v>
      </c>
      <c r="C20" s="153">
        <f>SUM(C18:C19)</f>
        <v>3832.5299999999997</v>
      </c>
      <c r="D20" s="153"/>
      <c r="E20" s="123">
        <f>SUM(E18:E19)</f>
        <v>3832.5299999999997</v>
      </c>
      <c r="F20" s="154"/>
      <c r="G20" s="153">
        <f>C20-E20</f>
        <v>0</v>
      </c>
      <c r="I20" s="153">
        <v>387.63</v>
      </c>
      <c r="J20" s="123">
        <v>375</v>
      </c>
      <c r="K20" s="153">
        <v>-12.63</v>
      </c>
    </row>
    <row r="21" spans="1:13" ht="12.75">
      <c r="A21" s="145"/>
      <c r="C21" s="156"/>
      <c r="D21" s="156"/>
      <c r="E21" s="156"/>
      <c r="F21" s="157"/>
      <c r="G21" s="158"/>
      <c r="H21" s="149"/>
      <c r="I21" s="158"/>
      <c r="J21" s="157"/>
      <c r="K21" s="158"/>
      <c r="L21" s="149"/>
      <c r="M21" s="149"/>
    </row>
    <row r="22" spans="2:11" ht="12.75">
      <c r="B22" s="1" t="s">
        <v>88</v>
      </c>
      <c r="C22" s="156">
        <f>C16+C20</f>
        <v>49432.53</v>
      </c>
      <c r="D22" s="156"/>
      <c r="E22" s="159">
        <f>E16+E20</f>
        <v>49432.53</v>
      </c>
      <c r="F22" s="157"/>
      <c r="G22" s="153">
        <f>C22-E22</f>
        <v>0</v>
      </c>
      <c r="I22" s="156">
        <v>31367.56</v>
      </c>
      <c r="J22" s="159">
        <v>37125</v>
      </c>
      <c r="K22" s="153">
        <v>5757.44</v>
      </c>
    </row>
  </sheetData>
  <mergeCells count="1">
    <mergeCell ref="I8:K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</sheetPr>
  <dimension ref="A1:L47"/>
  <sheetViews>
    <sheetView workbookViewId="0" topLeftCell="A1">
      <selection activeCell="B6" sqref="B6"/>
    </sheetView>
  </sheetViews>
  <sheetFormatPr defaultColWidth="9.140625" defaultRowHeight="12.75"/>
  <cols>
    <col min="1" max="1" width="17.8515625" style="2" customWidth="1"/>
    <col min="2" max="2" width="36.28125" style="2" bestFit="1" customWidth="1"/>
    <col min="3" max="3" width="10.8515625" style="146" bestFit="1" customWidth="1"/>
    <col min="4" max="4" width="5.140625" style="146" customWidth="1"/>
    <col min="5" max="5" width="12.7109375" style="127" bestFit="1" customWidth="1"/>
    <col min="6" max="6" width="5.28125" style="127" customWidth="1"/>
    <col min="7" max="7" width="10.00390625" style="146" customWidth="1"/>
    <col min="8" max="8" width="2.57421875" style="2" customWidth="1"/>
    <col min="9" max="11" width="10.00390625" style="2" hidden="1" customWidth="1"/>
    <col min="12" max="12" width="9.28125" style="2" bestFit="1" customWidth="1"/>
    <col min="13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515</v>
      </c>
    </row>
    <row r="5" spans="1:7" s="1" customFormat="1" ht="12.75">
      <c r="A5" s="129" t="s">
        <v>36</v>
      </c>
      <c r="B5" s="128" t="s">
        <v>2</v>
      </c>
      <c r="G5" s="127"/>
    </row>
    <row r="6" spans="1:7" s="1" customFormat="1" ht="12.75">
      <c r="A6" s="128" t="s">
        <v>37</v>
      </c>
      <c r="B6" s="128" t="s">
        <v>578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11" s="1" customFormat="1" ht="12.75">
      <c r="C8" s="132" t="s">
        <v>38</v>
      </c>
      <c r="D8" s="133"/>
      <c r="E8" s="132" t="s">
        <v>476</v>
      </c>
      <c r="F8" s="134"/>
      <c r="G8" s="135"/>
      <c r="I8" s="429" t="s">
        <v>363</v>
      </c>
      <c r="J8" s="430"/>
      <c r="K8" s="402"/>
    </row>
    <row r="9" spans="2:11" s="136" customFormat="1" ht="12.75">
      <c r="B9" s="137"/>
      <c r="C9" s="138" t="s">
        <v>494</v>
      </c>
      <c r="D9" s="139"/>
      <c r="E9" s="140" t="s">
        <v>279</v>
      </c>
      <c r="F9" s="141"/>
      <c r="G9" s="142" t="s">
        <v>39</v>
      </c>
      <c r="I9" s="143" t="s">
        <v>141</v>
      </c>
      <c r="J9" s="143" t="s">
        <v>13</v>
      </c>
      <c r="K9" s="143" t="s">
        <v>39</v>
      </c>
    </row>
    <row r="10" spans="3:11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  <c r="I10" s="136" t="s">
        <v>40</v>
      </c>
      <c r="J10" s="136" t="s">
        <v>40</v>
      </c>
      <c r="K10" s="136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11" ht="12.75">
      <c r="A12" s="145"/>
      <c r="E12" s="147"/>
      <c r="F12" s="147"/>
      <c r="G12" s="148"/>
      <c r="H12" s="149"/>
      <c r="I12" s="148"/>
      <c r="J12" s="147"/>
      <c r="K12" s="148"/>
    </row>
    <row r="13" spans="1:11" ht="12.75">
      <c r="A13" s="145"/>
      <c r="B13" s="149" t="s">
        <v>495</v>
      </c>
      <c r="C13" s="146">
        <v>62248</v>
      </c>
      <c r="E13" s="331">
        <v>73160</v>
      </c>
      <c r="F13" s="147"/>
      <c r="G13" s="146">
        <f aca="true" t="shared" si="0" ref="G13:G45">C13-E13</f>
        <v>-10912</v>
      </c>
      <c r="I13" s="146">
        <v>54850.6</v>
      </c>
      <c r="J13" s="151">
        <v>85680</v>
      </c>
      <c r="K13" s="146">
        <v>30829</v>
      </c>
    </row>
    <row r="14" spans="1:11" ht="12.75">
      <c r="A14" s="145"/>
      <c r="B14" s="149" t="s">
        <v>496</v>
      </c>
      <c r="C14" s="146">
        <v>62360</v>
      </c>
      <c r="E14" s="331">
        <v>65269.64705882353</v>
      </c>
      <c r="F14" s="147"/>
      <c r="G14" s="146">
        <f t="shared" si="0"/>
        <v>-2909.6470588235316</v>
      </c>
      <c r="I14" s="146">
        <v>52391.07</v>
      </c>
      <c r="J14" s="151">
        <v>58500</v>
      </c>
      <c r="K14" s="146">
        <v>6109</v>
      </c>
    </row>
    <row r="15" spans="1:11" ht="12.75">
      <c r="A15" s="145"/>
      <c r="B15" s="152" t="s">
        <v>497</v>
      </c>
      <c r="C15" s="146">
        <v>7936</v>
      </c>
      <c r="E15" s="331">
        <v>7936</v>
      </c>
      <c r="F15" s="147"/>
      <c r="G15" s="146">
        <f t="shared" si="0"/>
        <v>0</v>
      </c>
      <c r="I15" s="146">
        <v>4265.16</v>
      </c>
      <c r="J15" s="151">
        <v>3000</v>
      </c>
      <c r="K15" s="146">
        <v>-1265</v>
      </c>
    </row>
    <row r="16" spans="1:11" ht="12.75">
      <c r="A16" s="145"/>
      <c r="B16" s="149" t="s">
        <v>498</v>
      </c>
      <c r="C16" s="146">
        <v>6400</v>
      </c>
      <c r="E16" s="331">
        <v>6400</v>
      </c>
      <c r="F16" s="147"/>
      <c r="G16" s="146">
        <f t="shared" si="0"/>
        <v>0</v>
      </c>
      <c r="I16" s="146">
        <v>29038.69</v>
      </c>
      <c r="J16" s="151">
        <v>53168</v>
      </c>
      <c r="K16" s="146">
        <v>24129</v>
      </c>
    </row>
    <row r="17" spans="1:11" ht="12.75">
      <c r="A17" s="152"/>
      <c r="B17" s="152" t="s">
        <v>499</v>
      </c>
      <c r="C17" s="146">
        <v>24800</v>
      </c>
      <c r="E17" s="331">
        <v>24800</v>
      </c>
      <c r="F17" s="147"/>
      <c r="G17" s="146">
        <f t="shared" si="0"/>
        <v>0</v>
      </c>
      <c r="I17" s="146">
        <v>20789.94</v>
      </c>
      <c r="J17" s="151">
        <v>70480</v>
      </c>
      <c r="K17" s="146">
        <v>49690</v>
      </c>
    </row>
    <row r="18" spans="1:12" ht="12.75">
      <c r="A18" s="145"/>
      <c r="B18" s="149" t="s">
        <v>500</v>
      </c>
      <c r="C18" s="155">
        <v>20000</v>
      </c>
      <c r="D18" s="155"/>
      <c r="E18" s="331">
        <v>20000</v>
      </c>
      <c r="F18" s="124"/>
      <c r="G18" s="146">
        <f t="shared" si="0"/>
        <v>0</v>
      </c>
      <c r="I18" s="153">
        <v>161335.46</v>
      </c>
      <c r="J18" s="123">
        <v>270828</v>
      </c>
      <c r="K18" s="153">
        <v>109492.54</v>
      </c>
      <c r="L18" s="146"/>
    </row>
    <row r="19" spans="1:11" ht="12.75">
      <c r="A19" s="145"/>
      <c r="B19" s="152" t="s">
        <v>223</v>
      </c>
      <c r="C19" s="155">
        <v>7936</v>
      </c>
      <c r="D19" s="155"/>
      <c r="E19" s="331">
        <v>7936</v>
      </c>
      <c r="F19" s="124"/>
      <c r="G19" s="146">
        <f t="shared" si="0"/>
        <v>0</v>
      </c>
      <c r="H19" s="149"/>
      <c r="I19" s="148"/>
      <c r="J19" s="147"/>
      <c r="K19" s="148"/>
    </row>
    <row r="20" spans="1:11" ht="12.75">
      <c r="A20" s="145"/>
      <c r="B20" s="149" t="s">
        <v>501</v>
      </c>
      <c r="C20" s="155">
        <v>6400</v>
      </c>
      <c r="D20" s="155"/>
      <c r="E20" s="331">
        <v>6400</v>
      </c>
      <c r="F20" s="124"/>
      <c r="G20" s="146">
        <f t="shared" si="0"/>
        <v>0</v>
      </c>
      <c r="I20" s="146">
        <v>0</v>
      </c>
      <c r="J20" s="151">
        <v>0</v>
      </c>
      <c r="K20" s="146">
        <v>0</v>
      </c>
    </row>
    <row r="21" spans="1:11" ht="12.75">
      <c r="A21" s="152"/>
      <c r="B21" s="152" t="s">
        <v>502</v>
      </c>
      <c r="C21" s="155">
        <v>7936</v>
      </c>
      <c r="D21" s="155"/>
      <c r="E21" s="331">
        <v>7936</v>
      </c>
      <c r="F21" s="124"/>
      <c r="G21" s="146">
        <f t="shared" si="0"/>
        <v>0</v>
      </c>
      <c r="I21" s="146"/>
      <c r="J21" s="151"/>
      <c r="K21" s="146"/>
    </row>
    <row r="22" spans="1:11" ht="12.75">
      <c r="A22" s="145"/>
      <c r="B22" s="149" t="s">
        <v>503</v>
      </c>
      <c r="C22" s="155">
        <v>6400</v>
      </c>
      <c r="D22" s="155"/>
      <c r="E22" s="331">
        <v>6400</v>
      </c>
      <c r="F22" s="124"/>
      <c r="G22" s="146">
        <f t="shared" si="0"/>
        <v>0</v>
      </c>
      <c r="I22" s="146"/>
      <c r="J22" s="151"/>
      <c r="K22" s="146"/>
    </row>
    <row r="23" spans="1:11" ht="12.75">
      <c r="A23" s="145"/>
      <c r="B23" s="152" t="s">
        <v>504</v>
      </c>
      <c r="C23" s="155">
        <v>4650</v>
      </c>
      <c r="D23" s="155"/>
      <c r="E23" s="331">
        <v>4960</v>
      </c>
      <c r="F23" s="124"/>
      <c r="G23" s="146">
        <f t="shared" si="0"/>
        <v>-310</v>
      </c>
      <c r="I23" s="146">
        <v>128642.23</v>
      </c>
      <c r="J23" s="151">
        <v>81000</v>
      </c>
      <c r="K23" s="146">
        <v>-47642</v>
      </c>
    </row>
    <row r="24" spans="1:11" ht="12.75">
      <c r="A24" s="145"/>
      <c r="B24" s="149" t="s">
        <v>505</v>
      </c>
      <c r="C24" s="155">
        <v>3750</v>
      </c>
      <c r="D24" s="155"/>
      <c r="E24" s="331">
        <v>4000</v>
      </c>
      <c r="F24" s="124"/>
      <c r="G24" s="146">
        <f t="shared" si="0"/>
        <v>-250</v>
      </c>
      <c r="I24" s="146">
        <v>0</v>
      </c>
      <c r="J24" s="151">
        <v>15000</v>
      </c>
      <c r="K24" s="146">
        <v>15000</v>
      </c>
    </row>
    <row r="25" spans="1:11" ht="12.75">
      <c r="A25" s="145"/>
      <c r="B25" s="152" t="s">
        <v>506</v>
      </c>
      <c r="C25" s="155">
        <v>23808</v>
      </c>
      <c r="D25" s="155"/>
      <c r="E25" s="331">
        <v>23808</v>
      </c>
      <c r="F25" s="124"/>
      <c r="G25" s="146">
        <f t="shared" si="0"/>
        <v>0</v>
      </c>
      <c r="I25" s="146">
        <v>0</v>
      </c>
      <c r="J25" s="151">
        <v>0</v>
      </c>
      <c r="K25" s="146">
        <v>0</v>
      </c>
    </row>
    <row r="26" spans="1:11" ht="12.75">
      <c r="A26" s="145"/>
      <c r="B26" s="149" t="s">
        <v>507</v>
      </c>
      <c r="C26" s="155">
        <v>19200</v>
      </c>
      <c r="D26" s="155"/>
      <c r="E26" s="331">
        <v>19200</v>
      </c>
      <c r="F26" s="124"/>
      <c r="G26" s="146">
        <f t="shared" si="0"/>
        <v>0</v>
      </c>
      <c r="I26" s="146"/>
      <c r="J26" s="151"/>
      <c r="K26" s="146"/>
    </row>
    <row r="27" spans="1:11" ht="12.75">
      <c r="A27" s="145"/>
      <c r="B27" s="152" t="s">
        <v>416</v>
      </c>
      <c r="C27" s="155">
        <v>6944</v>
      </c>
      <c r="D27" s="155"/>
      <c r="E27" s="331">
        <v>8680</v>
      </c>
      <c r="F27" s="124"/>
      <c r="G27" s="146">
        <f t="shared" si="0"/>
        <v>-1736</v>
      </c>
      <c r="I27" s="153">
        <v>128642.23</v>
      </c>
      <c r="J27" s="123">
        <v>96000</v>
      </c>
      <c r="K27" s="153">
        <v>-32642.23</v>
      </c>
    </row>
    <row r="28" spans="1:11" ht="12.75">
      <c r="A28" s="145"/>
      <c r="B28" s="149" t="s">
        <v>508</v>
      </c>
      <c r="C28" s="155">
        <v>5600</v>
      </c>
      <c r="D28" s="155"/>
      <c r="E28" s="331">
        <v>7000</v>
      </c>
      <c r="F28" s="124"/>
      <c r="G28" s="146">
        <f t="shared" si="0"/>
        <v>-1400</v>
      </c>
      <c r="H28" s="149"/>
      <c r="I28" s="158"/>
      <c r="J28" s="157"/>
      <c r="K28" s="158"/>
    </row>
    <row r="29" spans="2:11" ht="12.75">
      <c r="B29" s="149" t="s">
        <v>239</v>
      </c>
      <c r="C29" s="155">
        <v>8928</v>
      </c>
      <c r="D29" s="155"/>
      <c r="E29" s="331">
        <v>8928</v>
      </c>
      <c r="F29" s="124"/>
      <c r="G29" s="146">
        <f t="shared" si="0"/>
        <v>0</v>
      </c>
      <c r="I29" s="156">
        <v>289977.69</v>
      </c>
      <c r="J29" s="159">
        <v>366828</v>
      </c>
      <c r="K29" s="153">
        <v>76850.31</v>
      </c>
    </row>
    <row r="30" spans="2:7" ht="12.75">
      <c r="B30" s="149" t="s">
        <v>509</v>
      </c>
      <c r="C30" s="155">
        <v>7200</v>
      </c>
      <c r="D30" s="155"/>
      <c r="E30" s="331">
        <v>7200</v>
      </c>
      <c r="F30" s="170"/>
      <c r="G30" s="146">
        <f t="shared" si="0"/>
        <v>0</v>
      </c>
    </row>
    <row r="31" spans="2:12" ht="12.75">
      <c r="B31" s="149" t="s">
        <v>510</v>
      </c>
      <c r="C31" s="155">
        <f>0</f>
        <v>0</v>
      </c>
      <c r="D31" s="155"/>
      <c r="E31" s="331">
        <v>3472</v>
      </c>
      <c r="F31" s="170"/>
      <c r="G31" s="146">
        <f t="shared" si="0"/>
        <v>-3472</v>
      </c>
      <c r="L31" s="2" t="s">
        <v>251</v>
      </c>
    </row>
    <row r="32" spans="2:7" ht="12.75">
      <c r="B32" s="149" t="s">
        <v>511</v>
      </c>
      <c r="C32" s="146">
        <v>0</v>
      </c>
      <c r="E32" s="331">
        <v>2800</v>
      </c>
      <c r="G32" s="146">
        <f t="shared" si="0"/>
        <v>-2800</v>
      </c>
    </row>
    <row r="33" spans="2:7" ht="12.75">
      <c r="B33" s="161" t="s">
        <v>201</v>
      </c>
      <c r="C33" s="153">
        <f>SUM(C13:C32)</f>
        <v>292496</v>
      </c>
      <c r="D33" s="153"/>
      <c r="E33" s="332">
        <f>SUM(E13:E32)</f>
        <v>316285.6470588235</v>
      </c>
      <c r="F33" s="330"/>
      <c r="G33" s="153">
        <f t="shared" si="0"/>
        <v>-23789.647058823495</v>
      </c>
    </row>
    <row r="34" ht="12.75">
      <c r="B34" s="161"/>
    </row>
    <row r="35" spans="2:7" ht="12.75">
      <c r="B35" s="149" t="s">
        <v>137</v>
      </c>
      <c r="C35" s="146">
        <v>7905</v>
      </c>
      <c r="E35" s="151">
        <v>10500</v>
      </c>
      <c r="G35" s="146">
        <f t="shared" si="0"/>
        <v>-2595</v>
      </c>
    </row>
    <row r="36" spans="2:7" ht="12.75">
      <c r="B36" s="149" t="s">
        <v>95</v>
      </c>
      <c r="C36" s="146">
        <v>22400</v>
      </c>
      <c r="E36" s="151">
        <v>22400</v>
      </c>
      <c r="G36" s="146">
        <f t="shared" si="0"/>
        <v>0</v>
      </c>
    </row>
    <row r="37" spans="2:7" ht="12.75">
      <c r="B37" s="149" t="s">
        <v>512</v>
      </c>
      <c r="C37" s="146">
        <v>9600</v>
      </c>
      <c r="E37" s="151">
        <v>25000</v>
      </c>
      <c r="G37" s="146">
        <f t="shared" si="0"/>
        <v>-15400</v>
      </c>
    </row>
    <row r="38" spans="2:7" ht="12.75">
      <c r="B38" s="149" t="s">
        <v>237</v>
      </c>
      <c r="C38" s="146">
        <v>36000</v>
      </c>
      <c r="E38" s="151">
        <v>36000</v>
      </c>
      <c r="G38" s="146">
        <f t="shared" si="0"/>
        <v>0</v>
      </c>
    </row>
    <row r="39" spans="2:7" ht="12.75">
      <c r="B39" s="149" t="s">
        <v>513</v>
      </c>
      <c r="C39" s="146">
        <v>33000</v>
      </c>
      <c r="E39" s="151">
        <v>64449</v>
      </c>
      <c r="G39" s="146">
        <f t="shared" si="0"/>
        <v>-31449</v>
      </c>
    </row>
    <row r="40" spans="2:7" ht="12.75">
      <c r="B40" s="149" t="s">
        <v>240</v>
      </c>
      <c r="C40" s="146">
        <v>43600</v>
      </c>
      <c r="E40" s="151">
        <v>27440</v>
      </c>
      <c r="G40" s="146">
        <f t="shared" si="0"/>
        <v>16160</v>
      </c>
    </row>
    <row r="41" spans="2:7" ht="12.75">
      <c r="B41" s="149" t="s">
        <v>514</v>
      </c>
      <c r="C41" s="146">
        <v>1500</v>
      </c>
      <c r="E41" s="151">
        <v>0</v>
      </c>
      <c r="G41" s="146">
        <f t="shared" si="0"/>
        <v>1500</v>
      </c>
    </row>
    <row r="42" spans="2:7" ht="12.75">
      <c r="B42" s="149" t="s">
        <v>202</v>
      </c>
      <c r="C42" s="146">
        <v>1200</v>
      </c>
      <c r="E42" s="151">
        <v>1200</v>
      </c>
      <c r="G42" s="146">
        <f t="shared" si="0"/>
        <v>0</v>
      </c>
    </row>
    <row r="43" spans="2:7" ht="12.75">
      <c r="B43" s="1" t="s">
        <v>16</v>
      </c>
      <c r="C43" s="153">
        <f>SUM(C35:C42)</f>
        <v>155205</v>
      </c>
      <c r="D43" s="153"/>
      <c r="E43" s="123">
        <f>SUM(E35:E42)</f>
        <v>186989</v>
      </c>
      <c r="F43" s="330"/>
      <c r="G43" s="153">
        <f t="shared" si="0"/>
        <v>-31784</v>
      </c>
    </row>
    <row r="45" spans="2:7" ht="12.75">
      <c r="B45" s="1" t="s">
        <v>88</v>
      </c>
      <c r="C45" s="153">
        <f>C43+C33</f>
        <v>447701</v>
      </c>
      <c r="D45" s="153"/>
      <c r="E45" s="123">
        <f>E33+E43</f>
        <v>503274.6470588235</v>
      </c>
      <c r="F45" s="330"/>
      <c r="G45" s="153">
        <f t="shared" si="0"/>
        <v>-55573.647058823495</v>
      </c>
    </row>
    <row r="47" spans="3:5" ht="12.75">
      <c r="C47" s="146">
        <v>0</v>
      </c>
      <c r="E47" s="127">
        <v>0</v>
      </c>
    </row>
  </sheetData>
  <mergeCells count="1">
    <mergeCell ref="I8:K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&amp;C&amp;F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40"/>
  <sheetViews>
    <sheetView workbookViewId="0" topLeftCell="A1">
      <selection activeCell="O16" sqref="O16"/>
    </sheetView>
  </sheetViews>
  <sheetFormatPr defaultColWidth="9.140625" defaultRowHeight="12.75"/>
  <cols>
    <col min="1" max="1" width="4.57421875" style="2" customWidth="1"/>
    <col min="2" max="2" width="4.00390625" style="2" customWidth="1"/>
    <col min="3" max="10" width="9.140625" style="2" customWidth="1"/>
    <col min="11" max="11" width="13.140625" style="2" customWidth="1"/>
    <col min="12" max="16384" width="9.140625" style="2" customWidth="1"/>
  </cols>
  <sheetData>
    <row r="1" spans="1:11" s="1" customFormat="1" ht="12.75">
      <c r="A1" s="186" t="s">
        <v>34</v>
      </c>
      <c r="C1" s="196"/>
      <c r="G1" s="127"/>
      <c r="H1" s="127"/>
      <c r="I1" s="127"/>
      <c r="J1" s="196"/>
      <c r="K1" s="196"/>
    </row>
    <row r="2" spans="1:11" s="1" customFormat="1" ht="12.75">
      <c r="A2" s="186"/>
      <c r="C2" s="196"/>
      <c r="G2" s="127"/>
      <c r="H2" s="127"/>
      <c r="I2" s="127"/>
      <c r="J2" s="196"/>
      <c r="K2" s="196"/>
    </row>
    <row r="3" spans="1:11" s="1" customFormat="1" ht="12.75">
      <c r="A3" s="126" t="s">
        <v>493</v>
      </c>
      <c r="B3" s="131"/>
      <c r="C3" s="196"/>
      <c r="D3" s="131"/>
      <c r="E3" s="131"/>
      <c r="F3" s="131"/>
      <c r="G3" s="127"/>
      <c r="H3" s="127"/>
      <c r="I3" s="127"/>
      <c r="J3" s="196"/>
      <c r="K3" s="196"/>
    </row>
    <row r="4" ht="12.75">
      <c r="A4" s="223"/>
    </row>
    <row r="6" ht="12.75">
      <c r="B6" s="186" t="s">
        <v>414</v>
      </c>
    </row>
    <row r="8" spans="2:3" ht="12.75">
      <c r="B8" s="291" t="s">
        <v>367</v>
      </c>
      <c r="C8" s="292" t="s">
        <v>631</v>
      </c>
    </row>
    <row r="9" spans="2:3" ht="12.75">
      <c r="B9" s="291"/>
      <c r="C9" s="292" t="s">
        <v>573</v>
      </c>
    </row>
    <row r="10" spans="2:3" ht="12.75">
      <c r="B10" s="291"/>
      <c r="C10" s="292"/>
    </row>
    <row r="11" spans="2:3" ht="12.75">
      <c r="B11" s="291" t="s">
        <v>368</v>
      </c>
      <c r="C11" s="292" t="s">
        <v>572</v>
      </c>
    </row>
    <row r="12" spans="2:3" ht="12.75">
      <c r="B12" s="291"/>
      <c r="C12" s="292"/>
    </row>
    <row r="13" spans="2:3" ht="12.75">
      <c r="B13" s="291" t="s">
        <v>370</v>
      </c>
      <c r="C13" s="292" t="s">
        <v>570</v>
      </c>
    </row>
    <row r="14" spans="2:3" ht="12.75">
      <c r="B14" s="291"/>
      <c r="C14" s="292"/>
    </row>
    <row r="15" spans="2:3" ht="12.75">
      <c r="B15" s="291" t="s">
        <v>369</v>
      </c>
      <c r="C15" s="292" t="s">
        <v>571</v>
      </c>
    </row>
    <row r="16" spans="2:3" ht="12.75">
      <c r="B16" s="291"/>
      <c r="C16" s="292"/>
    </row>
    <row r="17" spans="2:3" ht="12.75">
      <c r="B17" s="291" t="s">
        <v>371</v>
      </c>
      <c r="C17" s="292" t="s">
        <v>593</v>
      </c>
    </row>
    <row r="18" spans="2:3" ht="12.75">
      <c r="B18" s="291"/>
      <c r="C18" s="292" t="s">
        <v>592</v>
      </c>
    </row>
    <row r="19" spans="2:3" ht="12.75">
      <c r="B19" s="291"/>
      <c r="C19" s="292"/>
    </row>
    <row r="20" spans="2:3" ht="12.75">
      <c r="B20" s="291" t="s">
        <v>372</v>
      </c>
      <c r="C20" s="292" t="s">
        <v>629</v>
      </c>
    </row>
    <row r="21" spans="2:3" ht="12.75">
      <c r="B21" s="291"/>
      <c r="C21" s="292"/>
    </row>
    <row r="22" spans="2:3" ht="12.75">
      <c r="B22" s="291" t="s">
        <v>373</v>
      </c>
      <c r="C22" s="292" t="s">
        <v>625</v>
      </c>
    </row>
    <row r="23" spans="2:3" ht="12.75">
      <c r="B23" s="291"/>
      <c r="C23" s="292"/>
    </row>
    <row r="24" spans="2:3" ht="12.75">
      <c r="B24" s="291" t="s">
        <v>488</v>
      </c>
      <c r="C24" s="292" t="s">
        <v>594</v>
      </c>
    </row>
    <row r="25" spans="2:3" ht="12.75">
      <c r="B25" s="291"/>
      <c r="C25" s="292" t="s">
        <v>583</v>
      </c>
    </row>
    <row r="26" ht="12.75">
      <c r="B26" s="291"/>
    </row>
    <row r="27" spans="2:3" ht="12.75">
      <c r="B27" s="291" t="s">
        <v>485</v>
      </c>
      <c r="C27" s="292" t="s">
        <v>486</v>
      </c>
    </row>
    <row r="28" ht="12.75">
      <c r="B28" s="291"/>
    </row>
    <row r="29" spans="2:3" ht="12.75">
      <c r="B29" s="291" t="s">
        <v>487</v>
      </c>
      <c r="C29" s="292" t="s">
        <v>584</v>
      </c>
    </row>
    <row r="30" ht="12.75">
      <c r="B30" s="291"/>
    </row>
    <row r="31" spans="2:3" ht="12.75">
      <c r="B31" s="291" t="s">
        <v>489</v>
      </c>
      <c r="C31" s="2" t="s">
        <v>490</v>
      </c>
    </row>
    <row r="32" ht="12.75">
      <c r="B32" s="291"/>
    </row>
    <row r="33" ht="12.75">
      <c r="B33" s="291"/>
    </row>
    <row r="34" ht="12.75">
      <c r="B34" s="291"/>
    </row>
    <row r="35" ht="12.75">
      <c r="B35" s="291"/>
    </row>
    <row r="36" ht="12.75">
      <c r="B36" s="291"/>
    </row>
    <row r="37" ht="12.75">
      <c r="B37" s="291"/>
    </row>
    <row r="38" ht="12.75">
      <c r="B38" s="291"/>
    </row>
    <row r="39" ht="12.75">
      <c r="B39" s="291"/>
    </row>
    <row r="40" ht="12.75">
      <c r="B40" s="291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&amp;C&amp;F
</oddHeader>
    <oddFooter>&amp;C&amp;P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</sheetPr>
  <dimension ref="A1:H37"/>
  <sheetViews>
    <sheetView zoomScale="90" zoomScaleNormal="90" workbookViewId="0" topLeftCell="A1">
      <selection activeCell="C12" sqref="C12"/>
    </sheetView>
  </sheetViews>
  <sheetFormatPr defaultColWidth="9.140625" defaultRowHeight="12.75"/>
  <cols>
    <col min="1" max="1" width="17.8515625" style="2" customWidth="1"/>
    <col min="2" max="2" width="29.7109375" style="2" bestFit="1" customWidth="1"/>
    <col min="3" max="3" width="10.421875" style="146" bestFit="1" customWidth="1"/>
    <col min="4" max="4" width="4.421875" style="146" customWidth="1"/>
    <col min="5" max="5" width="12.28125" style="127" bestFit="1" customWidth="1"/>
    <col min="6" max="6" width="4.710937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90</v>
      </c>
    </row>
    <row r="5" spans="1:7" s="1" customFormat="1" ht="12.75">
      <c r="A5" s="129" t="s">
        <v>36</v>
      </c>
      <c r="B5" s="128" t="s">
        <v>1</v>
      </c>
      <c r="G5" s="127"/>
    </row>
    <row r="6" spans="1:7" s="1" customFormat="1" ht="12.75">
      <c r="A6" s="128" t="s">
        <v>37</v>
      </c>
      <c r="B6" s="128" t="s">
        <v>142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7" s="1" customFormat="1" ht="12.75">
      <c r="C8" s="133" t="s">
        <v>38</v>
      </c>
      <c r="D8" s="133"/>
      <c r="E8" s="133" t="s">
        <v>476</v>
      </c>
      <c r="F8" s="134"/>
      <c r="G8" s="134"/>
    </row>
    <row r="9" spans="2:7" s="136" customFormat="1" ht="12.75">
      <c r="B9" s="137"/>
      <c r="C9" s="139" t="s">
        <v>494</v>
      </c>
      <c r="D9" s="139"/>
      <c r="E9" s="160" t="s">
        <v>279</v>
      </c>
      <c r="F9" s="160"/>
      <c r="G9" s="160" t="s">
        <v>39</v>
      </c>
    </row>
    <row r="10" spans="3:7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7" ht="12.75">
      <c r="A12" s="145"/>
      <c r="B12" s="2" t="s">
        <v>17</v>
      </c>
      <c r="C12" s="146">
        <v>182132</v>
      </c>
      <c r="E12" s="151">
        <v>178214</v>
      </c>
      <c r="F12" s="147"/>
      <c r="G12" s="146">
        <f aca="true" t="shared" si="0" ref="G12:G17">C12-E12</f>
        <v>3918</v>
      </c>
    </row>
    <row r="13" spans="1:7" ht="12.75">
      <c r="A13" s="145"/>
      <c r="B13" s="2" t="s">
        <v>18</v>
      </c>
      <c r="C13" s="146">
        <v>23312.896</v>
      </c>
      <c r="E13" s="151">
        <v>22811.392</v>
      </c>
      <c r="F13" s="147"/>
      <c r="G13" s="146">
        <f t="shared" si="0"/>
        <v>501.5040000000008</v>
      </c>
    </row>
    <row r="14" spans="1:7" ht="12.75">
      <c r="A14" s="145"/>
      <c r="B14" s="2" t="s">
        <v>19</v>
      </c>
      <c r="C14" s="146">
        <v>30051.78</v>
      </c>
      <c r="E14" s="151">
        <v>29405.374020000003</v>
      </c>
      <c r="F14" s="147"/>
      <c r="G14" s="146">
        <f t="shared" si="0"/>
        <v>646.4059799999959</v>
      </c>
    </row>
    <row r="15" spans="1:7" ht="12.75">
      <c r="A15" s="145"/>
      <c r="B15" s="2" t="s">
        <v>44</v>
      </c>
      <c r="C15" s="146">
        <v>1400</v>
      </c>
      <c r="E15" s="151">
        <v>1328</v>
      </c>
      <c r="F15" s="147"/>
      <c r="G15" s="146">
        <f t="shared" si="0"/>
        <v>72</v>
      </c>
    </row>
    <row r="16" spans="1:7" ht="12.75">
      <c r="A16" s="145"/>
      <c r="B16" s="2" t="s">
        <v>21</v>
      </c>
      <c r="C16" s="146">
        <v>0</v>
      </c>
      <c r="E16" s="151">
        <v>2560</v>
      </c>
      <c r="F16" s="147"/>
      <c r="G16" s="146">
        <f t="shared" si="0"/>
        <v>-2560</v>
      </c>
    </row>
    <row r="17" spans="1:7" ht="12.75">
      <c r="A17" s="145"/>
      <c r="B17" s="1" t="s">
        <v>42</v>
      </c>
      <c r="C17" s="153">
        <f>SUM(C12:C15)</f>
        <v>236896.676</v>
      </c>
      <c r="D17" s="153"/>
      <c r="E17" s="123">
        <f>SUM(E12:E16)</f>
        <v>234318.76601999998</v>
      </c>
      <c r="F17" s="154"/>
      <c r="G17" s="153">
        <f t="shared" si="0"/>
        <v>2577.909980000026</v>
      </c>
    </row>
    <row r="18" spans="1:7" ht="12.75">
      <c r="A18" s="145"/>
      <c r="C18" s="148"/>
      <c r="D18" s="148"/>
      <c r="E18" s="124"/>
      <c r="F18" s="124"/>
      <c r="G18" s="121"/>
    </row>
    <row r="19" spans="1:7" ht="12.75">
      <c r="A19" s="145"/>
      <c r="B19" s="2" t="s">
        <v>49</v>
      </c>
      <c r="C19" s="146">
        <v>15000</v>
      </c>
      <c r="E19" s="331">
        <v>16000</v>
      </c>
      <c r="F19" s="147"/>
      <c r="G19" s="146">
        <f aca="true" t="shared" si="1" ref="G19:G25">C19-E19</f>
        <v>-1000</v>
      </c>
    </row>
    <row r="20" spans="1:7" ht="12.75">
      <c r="A20" s="145"/>
      <c r="B20" s="2" t="s">
        <v>50</v>
      </c>
      <c r="C20" s="146">
        <v>6000</v>
      </c>
      <c r="E20" s="331">
        <v>8000</v>
      </c>
      <c r="F20" s="147"/>
      <c r="G20" s="146">
        <f t="shared" si="1"/>
        <v>-2000</v>
      </c>
    </row>
    <row r="21" spans="1:7" ht="12.75">
      <c r="A21" s="145"/>
      <c r="B21" s="145" t="s">
        <v>51</v>
      </c>
      <c r="C21" s="146">
        <v>3000</v>
      </c>
      <c r="E21" s="331">
        <v>3000</v>
      </c>
      <c r="F21" s="147"/>
      <c r="G21" s="146">
        <f t="shared" si="1"/>
        <v>0</v>
      </c>
    </row>
    <row r="22" spans="1:7" ht="12.75">
      <c r="A22" s="145"/>
      <c r="B22" s="145" t="s">
        <v>95</v>
      </c>
      <c r="C22" s="146">
        <v>2000</v>
      </c>
      <c r="E22" s="331">
        <v>9000</v>
      </c>
      <c r="F22" s="147"/>
      <c r="G22" s="146">
        <f t="shared" si="1"/>
        <v>-7000</v>
      </c>
    </row>
    <row r="23" spans="1:7" ht="12.75">
      <c r="A23" s="145"/>
      <c r="B23" s="1" t="s">
        <v>14</v>
      </c>
      <c r="C23" s="153">
        <f>SUM(C19:C22)</f>
        <v>26000</v>
      </c>
      <c r="D23" s="153"/>
      <c r="E23" s="123">
        <f>SUM(E19:E22)</f>
        <v>36000</v>
      </c>
      <c r="F23" s="154"/>
      <c r="G23" s="153">
        <f t="shared" si="1"/>
        <v>-10000</v>
      </c>
    </row>
    <row r="24" spans="1:6" ht="12.75">
      <c r="A24" s="145"/>
      <c r="E24" s="147"/>
      <c r="F24" s="147"/>
    </row>
    <row r="25" spans="1:7" ht="12.75">
      <c r="A25" s="145"/>
      <c r="B25" s="2" t="s">
        <v>66</v>
      </c>
      <c r="C25" s="146">
        <v>360</v>
      </c>
      <c r="E25" s="151">
        <f>650+232</f>
        <v>882</v>
      </c>
      <c r="F25" s="147"/>
      <c r="G25" s="146">
        <f t="shared" si="1"/>
        <v>-522</v>
      </c>
    </row>
    <row r="26" spans="1:7" ht="12.75">
      <c r="A26" s="145"/>
      <c r="B26" s="1" t="s">
        <v>29</v>
      </c>
      <c r="C26" s="153">
        <f>SUM(C25)</f>
        <v>360</v>
      </c>
      <c r="D26" s="153"/>
      <c r="E26" s="123">
        <f>SUM(E25)</f>
        <v>882</v>
      </c>
      <c r="F26" s="154"/>
      <c r="G26" s="153">
        <f>SUM(G25)</f>
        <v>-522</v>
      </c>
    </row>
    <row r="27" spans="1:6" ht="12.75">
      <c r="A27" s="145"/>
      <c r="E27" s="147"/>
      <c r="F27" s="147"/>
    </row>
    <row r="28" spans="1:8" ht="12.75">
      <c r="A28" s="145"/>
      <c r="B28" s="2" t="s">
        <v>82</v>
      </c>
      <c r="C28" s="146">
        <v>5000</v>
      </c>
      <c r="E28" s="151">
        <v>5000</v>
      </c>
      <c r="F28" s="147"/>
      <c r="G28" s="146">
        <f aca="true" t="shared" si="2" ref="G28:G33">C28-E28</f>
        <v>0</v>
      </c>
      <c r="H28" s="149"/>
    </row>
    <row r="29" spans="1:7" ht="12.75">
      <c r="A29" s="145"/>
      <c r="B29" s="2" t="s">
        <v>226</v>
      </c>
      <c r="C29" s="146">
        <v>20000</v>
      </c>
      <c r="E29" s="151">
        <v>12000</v>
      </c>
      <c r="F29" s="147"/>
      <c r="G29" s="146">
        <f t="shared" si="2"/>
        <v>8000</v>
      </c>
    </row>
    <row r="30" spans="1:7" ht="12.75">
      <c r="A30" s="145"/>
      <c r="B30" s="2" t="s">
        <v>202</v>
      </c>
      <c r="C30" s="146">
        <v>25000</v>
      </c>
      <c r="E30" s="151">
        <v>10000</v>
      </c>
      <c r="F30" s="147"/>
      <c r="G30" s="146">
        <f t="shared" si="2"/>
        <v>15000</v>
      </c>
    </row>
    <row r="31" spans="1:7" ht="12.75">
      <c r="A31" s="145"/>
      <c r="B31" s="2" t="s">
        <v>83</v>
      </c>
      <c r="C31" s="146">
        <v>1600</v>
      </c>
      <c r="E31" s="151">
        <v>2100</v>
      </c>
      <c r="F31" s="147"/>
      <c r="G31" s="146">
        <f t="shared" si="2"/>
        <v>-500</v>
      </c>
    </row>
    <row r="32" spans="1:7" ht="12.75">
      <c r="A32" s="145"/>
      <c r="B32" s="2" t="s">
        <v>437</v>
      </c>
      <c r="C32" s="146">
        <v>7500</v>
      </c>
      <c r="E32" s="151">
        <v>7500</v>
      </c>
      <c r="F32" s="147"/>
      <c r="G32" s="146">
        <f t="shared" si="2"/>
        <v>0</v>
      </c>
    </row>
    <row r="33" spans="1:7" ht="12.75">
      <c r="A33" s="145"/>
      <c r="B33" s="1" t="s">
        <v>16</v>
      </c>
      <c r="C33" s="153">
        <f>SUM(C28:C32)</f>
        <v>59100</v>
      </c>
      <c r="D33" s="153"/>
      <c r="E33" s="123">
        <f>SUM(E28:E32)</f>
        <v>36600</v>
      </c>
      <c r="F33" s="154"/>
      <c r="G33" s="153">
        <f t="shared" si="2"/>
        <v>22500</v>
      </c>
    </row>
    <row r="34" spans="1:7" ht="12.75">
      <c r="A34" s="145"/>
      <c r="C34" s="156"/>
      <c r="D34" s="156"/>
      <c r="E34" s="157"/>
      <c r="F34" s="157"/>
      <c r="G34" s="158"/>
    </row>
    <row r="35" spans="2:7" ht="12.75">
      <c r="B35" s="1" t="s">
        <v>88</v>
      </c>
      <c r="C35" s="156">
        <f>C17+C23+C33+C26</f>
        <v>322356.676</v>
      </c>
      <c r="D35" s="156"/>
      <c r="E35" s="159">
        <f>E17+E23+E33+E26</f>
        <v>307800.76602</v>
      </c>
      <c r="F35" s="157"/>
      <c r="G35" s="153">
        <f>C35-E35</f>
        <v>14555.909979999997</v>
      </c>
    </row>
    <row r="37" spans="3:5" ht="12.75">
      <c r="C37" s="146">
        <v>0</v>
      </c>
      <c r="E37" s="127"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8" r:id="rId1"/>
  <headerFooter alignWithMargins="0">
    <oddHeader>&amp;C&amp;F</oddHeader>
    <oddFooter>&amp;CPage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7"/>
  </sheetPr>
  <dimension ref="A1:G38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17.8515625" style="2" customWidth="1"/>
    <col min="2" max="2" width="29.7109375" style="2" bestFit="1" customWidth="1"/>
    <col min="3" max="3" width="10.421875" style="146" bestFit="1" customWidth="1"/>
    <col min="4" max="4" width="3.28125" style="146" customWidth="1"/>
    <col min="5" max="5" width="12.7109375" style="127" bestFit="1" customWidth="1"/>
    <col min="6" max="6" width="3.851562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200</v>
      </c>
    </row>
    <row r="5" spans="1:7" s="1" customFormat="1" ht="12.75">
      <c r="A5" s="129" t="s">
        <v>36</v>
      </c>
      <c r="B5" s="128" t="s">
        <v>2</v>
      </c>
      <c r="G5" s="127"/>
    </row>
    <row r="6" spans="1:7" s="1" customFormat="1" ht="12.75">
      <c r="A6" s="128" t="s">
        <v>37</v>
      </c>
      <c r="B6" s="128" t="s">
        <v>578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7" s="1" customFormat="1" ht="12.75">
      <c r="C8" s="133" t="s">
        <v>38</v>
      </c>
      <c r="D8" s="133"/>
      <c r="E8" s="133" t="s">
        <v>476</v>
      </c>
      <c r="F8" s="134"/>
      <c r="G8" s="162"/>
    </row>
    <row r="9" spans="2:7" s="136" customFormat="1" ht="12.75">
      <c r="B9" s="137"/>
      <c r="C9" s="139" t="s">
        <v>494</v>
      </c>
      <c r="D9" s="139"/>
      <c r="E9" s="160" t="s">
        <v>279</v>
      </c>
      <c r="F9" s="160"/>
      <c r="G9" s="163" t="s">
        <v>39</v>
      </c>
    </row>
    <row r="10" spans="3:7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7" ht="12.75">
      <c r="A12" s="145"/>
      <c r="B12" s="2" t="s">
        <v>17</v>
      </c>
      <c r="C12" s="146">
        <v>159271</v>
      </c>
      <c r="E12" s="331">
        <v>125676.375</v>
      </c>
      <c r="F12" s="147"/>
      <c r="G12" s="146">
        <f>C12-E12</f>
        <v>33594.625</v>
      </c>
    </row>
    <row r="13" spans="1:7" ht="12.75">
      <c r="A13" s="145"/>
      <c r="B13" s="2" t="s">
        <v>18</v>
      </c>
      <c r="C13" s="146">
        <v>20386.688000000002</v>
      </c>
      <c r="E13" s="331">
        <f>E12*12.8%</f>
        <v>16086.576000000001</v>
      </c>
      <c r="F13" s="147"/>
      <c r="G13" s="146">
        <f>C13-E13</f>
        <v>4300.112000000001</v>
      </c>
    </row>
    <row r="14" spans="1:7" ht="12.75">
      <c r="A14" s="145"/>
      <c r="B14" s="2" t="s">
        <v>19</v>
      </c>
      <c r="C14" s="146">
        <v>9689.635</v>
      </c>
      <c r="E14" s="331">
        <v>11185.453125</v>
      </c>
      <c r="F14" s="147"/>
      <c r="G14" s="146">
        <f>C14-E14</f>
        <v>-1495.8181249999998</v>
      </c>
    </row>
    <row r="15" spans="1:7" ht="12.75">
      <c r="A15" s="145"/>
      <c r="B15" s="2" t="s">
        <v>21</v>
      </c>
      <c r="C15" s="146">
        <v>4000</v>
      </c>
      <c r="E15" s="331">
        <v>6000</v>
      </c>
      <c r="F15" s="147"/>
      <c r="G15" s="146">
        <f>C15-E15</f>
        <v>-2000</v>
      </c>
    </row>
    <row r="16" spans="1:7" ht="12.75">
      <c r="A16" s="145"/>
      <c r="B16" s="1" t="s">
        <v>42</v>
      </c>
      <c r="C16" s="153">
        <f>SUM(C12:C15)</f>
        <v>193347.323</v>
      </c>
      <c r="D16" s="153"/>
      <c r="E16" s="332">
        <f>SUM(E12:E15)</f>
        <v>158948.404125</v>
      </c>
      <c r="F16" s="154"/>
      <c r="G16" s="153">
        <f>C16-E16</f>
        <v>34398.918875</v>
      </c>
    </row>
    <row r="17" spans="1:7" ht="12.75">
      <c r="A17" s="145"/>
      <c r="C17" s="148"/>
      <c r="D17" s="148"/>
      <c r="E17" s="211"/>
      <c r="F17" s="124"/>
      <c r="G17" s="121"/>
    </row>
    <row r="18" spans="1:7" ht="12.75">
      <c r="A18" s="145"/>
      <c r="B18" s="2" t="s">
        <v>49</v>
      </c>
      <c r="C18" s="146">
        <v>2500</v>
      </c>
      <c r="E18" s="331">
        <v>2500</v>
      </c>
      <c r="F18" s="147"/>
      <c r="G18" s="146">
        <f>C18-E19</f>
        <v>0</v>
      </c>
    </row>
    <row r="19" spans="1:7" ht="12.75">
      <c r="A19" s="145"/>
      <c r="B19" s="2" t="s">
        <v>50</v>
      </c>
      <c r="C19" s="146">
        <v>2450</v>
      </c>
      <c r="E19" s="331">
        <v>2500</v>
      </c>
      <c r="F19" s="147"/>
      <c r="G19" s="146">
        <f>C19-E19</f>
        <v>-50</v>
      </c>
    </row>
    <row r="20" spans="1:7" ht="12.75">
      <c r="A20" s="145"/>
      <c r="B20" s="145" t="s">
        <v>95</v>
      </c>
      <c r="C20" s="146">
        <v>2500</v>
      </c>
      <c r="E20" s="331">
        <v>2000</v>
      </c>
      <c r="F20" s="147"/>
      <c r="G20" s="146">
        <f>C20-E20</f>
        <v>500</v>
      </c>
    </row>
    <row r="21" spans="1:7" ht="12.75">
      <c r="A21" s="145"/>
      <c r="B21" s="1" t="s">
        <v>167</v>
      </c>
      <c r="C21" s="153">
        <f>SUM(C18:C20)</f>
        <v>7450</v>
      </c>
      <c r="D21" s="153"/>
      <c r="E21" s="332">
        <f>SUM(E18:E20)</f>
        <v>7000</v>
      </c>
      <c r="F21" s="154"/>
      <c r="G21" s="153">
        <f>C21-E21</f>
        <v>450</v>
      </c>
    </row>
    <row r="22" spans="1:7" ht="12.75">
      <c r="A22" s="145"/>
      <c r="E22" s="147"/>
      <c r="F22" s="147"/>
      <c r="G22" s="148"/>
    </row>
    <row r="23" spans="1:7" ht="12.75">
      <c r="A23" s="145"/>
      <c r="B23" s="2" t="s">
        <v>140</v>
      </c>
      <c r="C23" s="146">
        <v>45600</v>
      </c>
      <c r="E23" s="151">
        <v>45600</v>
      </c>
      <c r="F23" s="147"/>
      <c r="G23" s="146">
        <f>C23-E23</f>
        <v>0</v>
      </c>
    </row>
    <row r="24" spans="1:7" ht="12.75">
      <c r="A24" s="145"/>
      <c r="B24" s="2" t="s">
        <v>224</v>
      </c>
      <c r="C24" s="146">
        <f>0</f>
        <v>0</v>
      </c>
      <c r="E24" s="151">
        <v>100</v>
      </c>
      <c r="F24" s="147"/>
      <c r="G24" s="146">
        <f>C24-E24</f>
        <v>-100</v>
      </c>
    </row>
    <row r="25" spans="1:7" ht="12.75">
      <c r="A25" s="145"/>
      <c r="B25" s="2" t="s">
        <v>66</v>
      </c>
      <c r="C25" s="146">
        <v>350</v>
      </c>
      <c r="E25" s="151">
        <v>350</v>
      </c>
      <c r="F25" s="147"/>
      <c r="G25" s="146">
        <f>C25-E25</f>
        <v>0</v>
      </c>
    </row>
    <row r="26" spans="1:7" ht="12.75">
      <c r="A26" s="145"/>
      <c r="B26" s="1" t="s">
        <v>29</v>
      </c>
      <c r="C26" s="153">
        <f>SUM(C23:C25)</f>
        <v>45950</v>
      </c>
      <c r="D26" s="153"/>
      <c r="E26" s="123">
        <f>SUM(E23:E25)</f>
        <v>46050</v>
      </c>
      <c r="F26" s="154"/>
      <c r="G26" s="153">
        <f>C26-E26</f>
        <v>-100</v>
      </c>
    </row>
    <row r="27" spans="1:7" ht="12.75">
      <c r="A27" s="145"/>
      <c r="B27" s="1"/>
      <c r="E27" s="147"/>
      <c r="F27" s="147"/>
      <c r="G27" s="148"/>
    </row>
    <row r="28" spans="1:7" ht="12.75">
      <c r="A28" s="145"/>
      <c r="B28" s="2" t="s">
        <v>478</v>
      </c>
      <c r="C28" s="146">
        <v>10000</v>
      </c>
      <c r="E28" s="151">
        <v>15000</v>
      </c>
      <c r="F28" s="147"/>
      <c r="G28" s="146">
        <f>C28-E28</f>
        <v>-5000</v>
      </c>
    </row>
    <row r="29" spans="1:7" ht="12.75">
      <c r="A29" s="145"/>
      <c r="B29" s="1" t="s">
        <v>479</v>
      </c>
      <c r="C29" s="153">
        <f>SUM(C28)</f>
        <v>10000</v>
      </c>
      <c r="D29" s="153"/>
      <c r="E29" s="123">
        <f>SUM(E28)</f>
        <v>15000</v>
      </c>
      <c r="F29" s="154"/>
      <c r="G29" s="153">
        <f>C29-E29</f>
        <v>-5000</v>
      </c>
    </row>
    <row r="30" spans="1:7" ht="12.75">
      <c r="A30" s="145"/>
      <c r="B30" s="1"/>
      <c r="E30" s="147"/>
      <c r="F30" s="147"/>
      <c r="G30" s="148"/>
    </row>
    <row r="31" spans="1:7" ht="12.75">
      <c r="A31" s="145"/>
      <c r="B31" s="2" t="s">
        <v>83</v>
      </c>
      <c r="C31" s="146">
        <v>0</v>
      </c>
      <c r="E31" s="151">
        <v>515</v>
      </c>
      <c r="F31" s="147"/>
      <c r="G31" s="146">
        <f>C31-E31</f>
        <v>-515</v>
      </c>
    </row>
    <row r="32" spans="1:7" ht="12.75">
      <c r="A32" s="145"/>
      <c r="B32" s="2" t="s">
        <v>219</v>
      </c>
      <c r="C32" s="146">
        <v>40000</v>
      </c>
      <c r="E32" s="151">
        <v>40000</v>
      </c>
      <c r="F32" s="147"/>
      <c r="G32" s="146">
        <f>C32-E32</f>
        <v>0</v>
      </c>
    </row>
    <row r="33" spans="1:7" ht="12.75">
      <c r="A33" s="145"/>
      <c r="B33" s="2" t="s">
        <v>82</v>
      </c>
      <c r="C33" s="146">
        <v>7500</v>
      </c>
      <c r="E33" s="151">
        <v>7200</v>
      </c>
      <c r="F33" s="147"/>
      <c r="G33" s="146">
        <f>C33-E33</f>
        <v>300</v>
      </c>
    </row>
    <row r="34" spans="1:7" ht="12.75">
      <c r="A34" s="145"/>
      <c r="B34" s="1" t="s">
        <v>16</v>
      </c>
      <c r="C34" s="153">
        <f>SUM(C31:C33)</f>
        <v>47500</v>
      </c>
      <c r="D34" s="153"/>
      <c r="E34" s="123">
        <f>SUM(E31:E33)</f>
        <v>47715</v>
      </c>
      <c r="F34" s="154"/>
      <c r="G34" s="153">
        <f>SUM(G31:G33)</f>
        <v>-215</v>
      </c>
    </row>
    <row r="35" spans="1:7" ht="12.75">
      <c r="A35" s="145"/>
      <c r="C35" s="156" t="s">
        <v>433</v>
      </c>
      <c r="D35" s="156"/>
      <c r="E35" s="157"/>
      <c r="F35" s="157"/>
      <c r="G35" s="158"/>
    </row>
    <row r="36" spans="2:7" ht="12.75">
      <c r="B36" s="1" t="s">
        <v>88</v>
      </c>
      <c r="C36" s="156">
        <f>C16+C21+C26+C34+C29</f>
        <v>304247.323</v>
      </c>
      <c r="D36" s="156"/>
      <c r="E36" s="159">
        <f>E16+E21+E26+E34+E29</f>
        <v>274713.404125</v>
      </c>
      <c r="F36" s="157"/>
      <c r="G36" s="153">
        <f>C36-E36</f>
        <v>29533.918874999974</v>
      </c>
    </row>
    <row r="38" spans="3:5" ht="12.75">
      <c r="C38" s="146">
        <v>0</v>
      </c>
      <c r="E38" s="127"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7"/>
  </sheetPr>
  <dimension ref="A1:G51"/>
  <sheetViews>
    <sheetView zoomScale="85" zoomScaleNormal="85" workbookViewId="0" topLeftCell="A1">
      <selection activeCell="C35" sqref="C35"/>
    </sheetView>
  </sheetViews>
  <sheetFormatPr defaultColWidth="9.140625" defaultRowHeight="12.75"/>
  <cols>
    <col min="1" max="1" width="17.8515625" style="2" customWidth="1"/>
    <col min="2" max="2" width="29.7109375" style="2" bestFit="1" customWidth="1"/>
    <col min="3" max="3" width="10.57421875" style="146" bestFit="1" customWidth="1"/>
    <col min="4" max="4" width="4.28125" style="146" customWidth="1"/>
    <col min="5" max="5" width="11.8515625" style="127" bestFit="1" customWidth="1"/>
    <col min="6" max="6" width="4.5742187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568</v>
      </c>
    </row>
    <row r="5" spans="1:7" s="1" customFormat="1" ht="12.75">
      <c r="A5" s="129" t="s">
        <v>36</v>
      </c>
      <c r="B5" s="128" t="s">
        <v>0</v>
      </c>
      <c r="G5" s="127"/>
    </row>
    <row r="6" spans="1:7" s="1" customFormat="1" ht="12.75">
      <c r="A6" s="128" t="s">
        <v>37</v>
      </c>
      <c r="B6" s="128" t="s">
        <v>241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7" s="1" customFormat="1" ht="12.75">
      <c r="C8" s="133" t="s">
        <v>38</v>
      </c>
      <c r="D8" s="134"/>
      <c r="E8" s="133" t="s">
        <v>476</v>
      </c>
      <c r="F8" s="134"/>
      <c r="G8" s="134"/>
    </row>
    <row r="9" spans="2:7" s="136" customFormat="1" ht="12.75">
      <c r="B9" s="137"/>
      <c r="C9" s="139" t="s">
        <v>494</v>
      </c>
      <c r="D9" s="139"/>
      <c r="E9" s="160" t="s">
        <v>279</v>
      </c>
      <c r="F9" s="160"/>
      <c r="G9" s="160" t="s">
        <v>39</v>
      </c>
    </row>
    <row r="10" spans="3:7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7" ht="12.75">
      <c r="A12" s="145"/>
      <c r="B12" s="2" t="s">
        <v>17</v>
      </c>
      <c r="C12" s="146">
        <v>397459.05</v>
      </c>
      <c r="E12" s="150">
        <v>301581</v>
      </c>
      <c r="F12" s="147"/>
      <c r="G12" s="146">
        <f aca="true" t="shared" si="0" ref="G12:G17">C12-E12</f>
        <v>95878.04999999999</v>
      </c>
    </row>
    <row r="13" spans="1:7" ht="12.75">
      <c r="A13" s="145"/>
      <c r="B13" s="2" t="s">
        <v>43</v>
      </c>
      <c r="C13" s="146">
        <v>0</v>
      </c>
      <c r="E13" s="150">
        <v>2000</v>
      </c>
      <c r="F13" s="147"/>
      <c r="G13" s="146">
        <f t="shared" si="0"/>
        <v>-2000</v>
      </c>
    </row>
    <row r="14" spans="1:7" ht="12.75">
      <c r="A14" s="145"/>
      <c r="B14" s="2" t="s">
        <v>18</v>
      </c>
      <c r="C14" s="146">
        <v>50874.7584</v>
      </c>
      <c r="E14" s="150">
        <f>E12*12.8%</f>
        <v>38602.368</v>
      </c>
      <c r="F14" s="147"/>
      <c r="G14" s="146">
        <f t="shared" si="0"/>
        <v>12272.390399999997</v>
      </c>
    </row>
    <row r="15" spans="1:7" ht="12.75">
      <c r="A15" s="145"/>
      <c r="B15" s="2" t="s">
        <v>19</v>
      </c>
      <c r="C15" s="146">
        <v>35090.95925</v>
      </c>
      <c r="E15" s="150">
        <v>25676.31</v>
      </c>
      <c r="F15" s="147"/>
      <c r="G15" s="146">
        <f t="shared" si="0"/>
        <v>9414.649249999999</v>
      </c>
    </row>
    <row r="16" spans="1:7" ht="12.75">
      <c r="A16" s="145"/>
      <c r="B16" s="145" t="s">
        <v>46</v>
      </c>
      <c r="C16" s="146">
        <v>22360</v>
      </c>
      <c r="E16" s="150">
        <v>15150</v>
      </c>
      <c r="F16" s="147"/>
      <c r="G16" s="146">
        <f t="shared" si="0"/>
        <v>7210</v>
      </c>
    </row>
    <row r="17" spans="1:7" ht="12.75">
      <c r="A17" s="145"/>
      <c r="B17" s="1" t="s">
        <v>42</v>
      </c>
      <c r="C17" s="153">
        <f>SUM(C12:C16)</f>
        <v>505784.76765</v>
      </c>
      <c r="D17" s="153"/>
      <c r="E17" s="123">
        <f>SUM(E12:E16)</f>
        <v>383009.678</v>
      </c>
      <c r="F17" s="154"/>
      <c r="G17" s="153">
        <f t="shared" si="0"/>
        <v>122775.08964999998</v>
      </c>
    </row>
    <row r="18" spans="1:7" ht="12.75">
      <c r="A18" s="145"/>
      <c r="C18" s="148"/>
      <c r="D18" s="148"/>
      <c r="E18" s="124"/>
      <c r="F18" s="124"/>
      <c r="G18" s="121"/>
    </row>
    <row r="19" spans="1:7" ht="12.75">
      <c r="A19" s="145"/>
      <c r="B19" s="2" t="s">
        <v>49</v>
      </c>
      <c r="C19" s="146">
        <v>20700</v>
      </c>
      <c r="E19" s="150">
        <v>10155</v>
      </c>
      <c r="F19" s="147"/>
      <c r="G19" s="146">
        <f>C19-E19</f>
        <v>10545</v>
      </c>
    </row>
    <row r="20" spans="1:7" ht="12.75">
      <c r="A20" s="145"/>
      <c r="B20" s="2" t="s">
        <v>50</v>
      </c>
      <c r="C20" s="146">
        <v>20590</v>
      </c>
      <c r="E20" s="150">
        <v>11020</v>
      </c>
      <c r="F20" s="147"/>
      <c r="G20" s="146">
        <f>C20-E20</f>
        <v>9570</v>
      </c>
    </row>
    <row r="21" spans="1:7" ht="12.75">
      <c r="A21" s="145"/>
      <c r="B21" s="2" t="s">
        <v>95</v>
      </c>
      <c r="C21" s="146">
        <v>2700</v>
      </c>
      <c r="E21" s="150">
        <v>5850</v>
      </c>
      <c r="F21" s="147"/>
      <c r="G21" s="146">
        <f>C21-E21</f>
        <v>-3150</v>
      </c>
    </row>
    <row r="22" spans="1:7" ht="12.75">
      <c r="A22" s="145"/>
      <c r="B22" s="1" t="s">
        <v>167</v>
      </c>
      <c r="C22" s="153">
        <f>SUM(C19:C21)</f>
        <v>43990</v>
      </c>
      <c r="D22" s="153"/>
      <c r="E22" s="123">
        <f>SUM(E19:E21)</f>
        <v>27025</v>
      </c>
      <c r="F22" s="154"/>
      <c r="G22" s="153">
        <f>C22-E22</f>
        <v>16965</v>
      </c>
    </row>
    <row r="23" spans="1:7" ht="12.75">
      <c r="A23" s="145"/>
      <c r="E23" s="147"/>
      <c r="F23" s="147"/>
      <c r="G23" s="148"/>
    </row>
    <row r="24" spans="1:7" ht="12.75">
      <c r="A24" s="145"/>
      <c r="B24" s="2" t="s">
        <v>74</v>
      </c>
      <c r="C24" s="146">
        <v>2170</v>
      </c>
      <c r="E24" s="151">
        <v>0</v>
      </c>
      <c r="F24" s="147"/>
      <c r="G24" s="146">
        <f>C24-E24</f>
        <v>2170</v>
      </c>
    </row>
    <row r="25" spans="1:7" ht="12.75">
      <c r="A25" s="145"/>
      <c r="B25" s="2" t="s">
        <v>516</v>
      </c>
      <c r="C25" s="146">
        <v>1400</v>
      </c>
      <c r="E25" s="151">
        <v>0</v>
      </c>
      <c r="F25" s="147"/>
      <c r="G25" s="146">
        <f>C25-E25</f>
        <v>1400</v>
      </c>
    </row>
    <row r="26" spans="1:7" ht="12.75">
      <c r="A26" s="145"/>
      <c r="B26" s="1" t="s">
        <v>517</v>
      </c>
      <c r="C26" s="153">
        <f>SUM(C24:C25)</f>
        <v>3570</v>
      </c>
      <c r="D26" s="153"/>
      <c r="E26" s="123">
        <f>SUM(E24:E25)</f>
        <v>0</v>
      </c>
      <c r="F26" s="154"/>
      <c r="G26" s="166">
        <f>SUM(G24:G25)</f>
        <v>3570</v>
      </c>
    </row>
    <row r="27" spans="1:7" ht="12.75">
      <c r="A27" s="145"/>
      <c r="E27" s="147"/>
      <c r="F27" s="147"/>
      <c r="G27" s="148"/>
    </row>
    <row r="28" spans="1:7" ht="12.75">
      <c r="A28" s="145"/>
      <c r="B28" s="2" t="s">
        <v>140</v>
      </c>
      <c r="C28" s="146">
        <v>18300</v>
      </c>
      <c r="E28" s="151">
        <v>11800</v>
      </c>
      <c r="F28" s="147"/>
      <c r="G28" s="146">
        <f>C28-E28</f>
        <v>6500</v>
      </c>
    </row>
    <row r="29" spans="1:7" ht="12.75">
      <c r="A29" s="152"/>
      <c r="B29" s="2" t="s">
        <v>224</v>
      </c>
      <c r="C29" s="146">
        <v>3200</v>
      </c>
      <c r="E29" s="151">
        <v>7386</v>
      </c>
      <c r="F29" s="147"/>
      <c r="G29" s="146">
        <f>C29-E29</f>
        <v>-4186</v>
      </c>
    </row>
    <row r="30" spans="1:7" ht="12.75">
      <c r="A30" s="152"/>
      <c r="B30" s="2" t="s">
        <v>137</v>
      </c>
      <c r="C30" s="146">
        <v>2205</v>
      </c>
      <c r="E30" s="151">
        <v>0</v>
      </c>
      <c r="F30" s="147"/>
      <c r="G30" s="146">
        <f>C30-E30</f>
        <v>2205</v>
      </c>
    </row>
    <row r="31" spans="1:7" ht="12.75">
      <c r="A31" s="152"/>
      <c r="B31" s="2" t="s">
        <v>66</v>
      </c>
      <c r="C31" s="146">
        <v>1512</v>
      </c>
      <c r="E31" s="151">
        <v>2778</v>
      </c>
      <c r="F31" s="147"/>
      <c r="G31" s="146">
        <f>C31-E31</f>
        <v>-1266</v>
      </c>
    </row>
    <row r="32" spans="1:7" ht="12.75">
      <c r="A32" s="145"/>
      <c r="B32" s="1" t="s">
        <v>29</v>
      </c>
      <c r="C32" s="153">
        <f>SUM(C28:C31)</f>
        <v>25217</v>
      </c>
      <c r="D32" s="153"/>
      <c r="E32" s="123">
        <f>SUM(E28:E31)</f>
        <v>21964</v>
      </c>
      <c r="F32" s="154"/>
      <c r="G32" s="153">
        <f>C32-E32</f>
        <v>3253</v>
      </c>
    </row>
    <row r="33" spans="1:7" ht="12.75">
      <c r="A33" s="145"/>
      <c r="F33" s="147"/>
      <c r="G33" s="148"/>
    </row>
    <row r="34" spans="1:7" ht="12.75">
      <c r="A34" s="145"/>
      <c r="B34" s="2" t="s">
        <v>210</v>
      </c>
      <c r="C34" s="146">
        <v>127789.75</v>
      </c>
      <c r="E34" s="150">
        <v>65310</v>
      </c>
      <c r="F34" s="147"/>
      <c r="G34" s="146">
        <f>C34-E34</f>
        <v>62479.75</v>
      </c>
    </row>
    <row r="35" spans="1:7" ht="12.75">
      <c r="A35" s="152"/>
      <c r="B35" s="149" t="s">
        <v>242</v>
      </c>
      <c r="C35" s="146">
        <v>23124</v>
      </c>
      <c r="E35" s="150">
        <v>14110</v>
      </c>
      <c r="F35" s="147"/>
      <c r="G35" s="146">
        <f>C35-E35</f>
        <v>9014</v>
      </c>
    </row>
    <row r="36" spans="1:7" ht="12.75">
      <c r="A36" s="152"/>
      <c r="B36" s="149" t="s">
        <v>243</v>
      </c>
      <c r="C36" s="146">
        <v>10800</v>
      </c>
      <c r="E36" s="150">
        <v>11200</v>
      </c>
      <c r="F36" s="147"/>
      <c r="G36" s="146">
        <f>C36-E36</f>
        <v>-400</v>
      </c>
    </row>
    <row r="37" spans="2:7" ht="12.75">
      <c r="B37" s="1" t="s">
        <v>168</v>
      </c>
      <c r="C37" s="153">
        <f>SUM(C34:C36)</f>
        <v>161713.75</v>
      </c>
      <c r="D37" s="153"/>
      <c r="E37" s="123">
        <f>SUM(E34:E36)</f>
        <v>90620</v>
      </c>
      <c r="F37" s="154"/>
      <c r="G37" s="153">
        <f>C37-E37</f>
        <v>71093.75</v>
      </c>
    </row>
    <row r="38" spans="5:7" ht="12.75">
      <c r="E38" s="147"/>
      <c r="F38" s="147"/>
      <c r="G38" s="148"/>
    </row>
    <row r="39" spans="2:7" ht="12.75">
      <c r="B39" s="2" t="s">
        <v>465</v>
      </c>
      <c r="C39" s="146">
        <v>0</v>
      </c>
      <c r="E39" s="151">
        <v>8200</v>
      </c>
      <c r="F39" s="147"/>
      <c r="G39" s="155">
        <f>C39-E39</f>
        <v>-8200</v>
      </c>
    </row>
    <row r="40" spans="2:7" ht="12.75">
      <c r="B40" s="1" t="s">
        <v>269</v>
      </c>
      <c r="C40" s="153">
        <f>SUM(C39)</f>
        <v>0</v>
      </c>
      <c r="D40" s="153"/>
      <c r="E40" s="123">
        <f>SUM(E39)</f>
        <v>8200</v>
      </c>
      <c r="F40" s="154"/>
      <c r="G40" s="156">
        <f>C40-E40</f>
        <v>-8200</v>
      </c>
    </row>
    <row r="41" spans="5:7" ht="12.75">
      <c r="E41" s="147"/>
      <c r="F41" s="147"/>
      <c r="G41" s="148"/>
    </row>
    <row r="42" spans="2:7" ht="12.75">
      <c r="B42" s="2" t="s">
        <v>298</v>
      </c>
      <c r="C42" s="146">
        <v>0</v>
      </c>
      <c r="E42" s="151">
        <v>5400</v>
      </c>
      <c r="F42" s="147"/>
      <c r="G42" s="146">
        <f>C42-E42</f>
        <v>-5400</v>
      </c>
    </row>
    <row r="43" spans="1:7" ht="12.75">
      <c r="A43" s="145"/>
      <c r="B43" s="2" t="s">
        <v>417</v>
      </c>
      <c r="C43" s="146">
        <v>648</v>
      </c>
      <c r="E43" s="151">
        <v>600</v>
      </c>
      <c r="F43" s="147"/>
      <c r="G43" s="146">
        <f>C43-E43</f>
        <v>48</v>
      </c>
    </row>
    <row r="44" spans="1:7" ht="12.75">
      <c r="A44" s="145"/>
      <c r="B44" s="2" t="s">
        <v>83</v>
      </c>
      <c r="C44" s="146">
        <v>311</v>
      </c>
      <c r="E44" s="151">
        <v>1094</v>
      </c>
      <c r="F44" s="147"/>
      <c r="G44" s="146">
        <f>C44-E44</f>
        <v>-783</v>
      </c>
    </row>
    <row r="45" spans="1:7" ht="12.75">
      <c r="A45" s="145"/>
      <c r="B45" s="2" t="s">
        <v>219</v>
      </c>
      <c r="C45" s="146">
        <v>10000</v>
      </c>
      <c r="E45" s="151">
        <v>18000</v>
      </c>
      <c r="F45" s="147"/>
      <c r="G45" s="146">
        <f>C45-E45</f>
        <v>-8000</v>
      </c>
    </row>
    <row r="46" spans="1:7" ht="12.75">
      <c r="A46" s="145"/>
      <c r="B46" s="2" t="s">
        <v>82</v>
      </c>
      <c r="C46" s="146">
        <v>15036</v>
      </c>
      <c r="E46" s="151">
        <v>19225</v>
      </c>
      <c r="F46" s="147"/>
      <c r="G46" s="146">
        <f>C46-E46</f>
        <v>-4189</v>
      </c>
    </row>
    <row r="47" spans="1:7" ht="12.75">
      <c r="A47" s="145"/>
      <c r="B47" s="1" t="s">
        <v>16</v>
      </c>
      <c r="C47" s="153">
        <f>SUM(C42:C46)</f>
        <v>25995</v>
      </c>
      <c r="D47" s="153"/>
      <c r="E47" s="123">
        <f>SUM(E42:E46)</f>
        <v>44319</v>
      </c>
      <c r="F47" s="154"/>
      <c r="G47" s="153">
        <f>SUM(G42:G46)</f>
        <v>-18324</v>
      </c>
    </row>
    <row r="48" spans="1:7" ht="12.75">
      <c r="A48" s="145"/>
      <c r="C48" s="156"/>
      <c r="D48" s="156"/>
      <c r="E48" s="157"/>
      <c r="F48" s="157"/>
      <c r="G48" s="158"/>
    </row>
    <row r="49" spans="2:7" ht="12.75">
      <c r="B49" s="1" t="s">
        <v>88</v>
      </c>
      <c r="C49" s="156">
        <f>C17+C22+C37+C47+C32+C40+C26</f>
        <v>766270.51765</v>
      </c>
      <c r="D49" s="156"/>
      <c r="E49" s="159">
        <f>E17+E22+E37+E40+E47+E32+E26</f>
        <v>575137.6780000001</v>
      </c>
      <c r="F49" s="157"/>
      <c r="G49" s="153">
        <f>C49-E49</f>
        <v>191132.83964999998</v>
      </c>
    </row>
    <row r="51" spans="3:5" ht="12.75">
      <c r="C51" s="146">
        <v>-3935.25</v>
      </c>
      <c r="E51" s="127"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&amp;C&amp;F</oddHeader>
    <oddFooter>&amp;CPage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7"/>
  </sheetPr>
  <dimension ref="A1:P47"/>
  <sheetViews>
    <sheetView zoomScale="90" zoomScaleNormal="90" zoomScaleSheetLayoutView="85" workbookViewId="0" topLeftCell="A1">
      <selection activeCell="E27" sqref="E27"/>
    </sheetView>
  </sheetViews>
  <sheetFormatPr defaultColWidth="9.140625" defaultRowHeight="12.75"/>
  <cols>
    <col min="1" max="1" width="17.8515625" style="2" customWidth="1"/>
    <col min="2" max="2" width="29.7109375" style="2" bestFit="1" customWidth="1"/>
    <col min="3" max="3" width="11.140625" style="146" customWidth="1"/>
    <col min="4" max="4" width="3.8515625" style="146" customWidth="1"/>
    <col min="5" max="5" width="13.28125" style="127" bestFit="1" customWidth="1"/>
    <col min="6" max="6" width="4.00390625" style="127" customWidth="1"/>
    <col min="7" max="7" width="10.421875" style="146" bestFit="1" customWidth="1"/>
    <col min="8" max="8" width="2.57421875" style="2" customWidth="1"/>
    <col min="9" max="11" width="10.00390625" style="2" hidden="1" customWidth="1"/>
    <col min="12" max="12" width="2.57421875" style="2" customWidth="1"/>
    <col min="13" max="15" width="9.140625" style="2" customWidth="1"/>
    <col min="16" max="16" width="10.57421875" style="2" bestFit="1" customWidth="1"/>
    <col min="17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299</v>
      </c>
    </row>
    <row r="5" spans="1:7" s="1" customFormat="1" ht="12.75">
      <c r="A5" s="129" t="s">
        <v>36</v>
      </c>
      <c r="B5" s="128" t="s">
        <v>4</v>
      </c>
      <c r="G5" s="127"/>
    </row>
    <row r="6" spans="1:7" s="1" customFormat="1" ht="12.75">
      <c r="A6" s="128" t="s">
        <v>37</v>
      </c>
      <c r="B6" s="128" t="s">
        <v>300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11" s="1" customFormat="1" ht="12.75">
      <c r="C8" s="133" t="s">
        <v>38</v>
      </c>
      <c r="D8" s="134"/>
      <c r="E8" s="133" t="s">
        <v>476</v>
      </c>
      <c r="F8" s="134"/>
      <c r="G8" s="134"/>
      <c r="I8" s="429" t="s">
        <v>363</v>
      </c>
      <c r="J8" s="430"/>
      <c r="K8" s="402"/>
    </row>
    <row r="9" spans="2:11" s="136" customFormat="1" ht="12.75">
      <c r="B9" s="137"/>
      <c r="C9" s="139" t="s">
        <v>494</v>
      </c>
      <c r="D9" s="139"/>
      <c r="E9" s="160" t="s">
        <v>279</v>
      </c>
      <c r="F9" s="160"/>
      <c r="G9" s="160" t="s">
        <v>39</v>
      </c>
      <c r="I9" s="143" t="s">
        <v>141</v>
      </c>
      <c r="J9" s="143" t="s">
        <v>13</v>
      </c>
      <c r="K9" s="143" t="s">
        <v>39</v>
      </c>
    </row>
    <row r="10" spans="3:11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  <c r="I10" s="136" t="s">
        <v>40</v>
      </c>
      <c r="J10" s="136" t="s">
        <v>40</v>
      </c>
      <c r="K10" s="136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11" ht="12.75">
      <c r="A12" s="145"/>
      <c r="B12" s="2" t="s">
        <v>17</v>
      </c>
      <c r="C12" s="146">
        <v>849086.6666666666</v>
      </c>
      <c r="E12" s="331">
        <v>822748.5983333333</v>
      </c>
      <c r="F12" s="147"/>
      <c r="G12" s="146">
        <f aca="true" t="shared" si="0" ref="G12:G17">C12-E12</f>
        <v>26338.068333333358</v>
      </c>
      <c r="I12" s="146">
        <v>449563.63</v>
      </c>
      <c r="J12" s="151">
        <v>526060</v>
      </c>
      <c r="K12" s="146">
        <f aca="true" t="shared" si="1" ref="K12:K21">ROUND(J12-I12,0)</f>
        <v>76496</v>
      </c>
    </row>
    <row r="13" spans="1:11" ht="12.75">
      <c r="A13" s="145"/>
      <c r="B13" s="2" t="s">
        <v>20</v>
      </c>
      <c r="C13" s="146">
        <v>82306</v>
      </c>
      <c r="E13" s="331">
        <v>13000</v>
      </c>
      <c r="F13" s="147"/>
      <c r="G13" s="146">
        <f t="shared" si="0"/>
        <v>69306</v>
      </c>
      <c r="I13" s="146">
        <v>4429.91</v>
      </c>
      <c r="J13" s="151">
        <v>10875</v>
      </c>
      <c r="K13" s="146">
        <f t="shared" si="1"/>
        <v>6445</v>
      </c>
    </row>
    <row r="14" spans="1:11" ht="12.75">
      <c r="A14" s="145"/>
      <c r="B14" s="2" t="s">
        <v>18</v>
      </c>
      <c r="C14" s="146">
        <v>108683.09333333334</v>
      </c>
      <c r="E14" s="331">
        <f>E12*12.8%</f>
        <v>105311.82058666665</v>
      </c>
      <c r="F14" s="147"/>
      <c r="G14" s="146">
        <f t="shared" si="0"/>
        <v>3371.272746666684</v>
      </c>
      <c r="I14" s="146">
        <v>46094.92</v>
      </c>
      <c r="J14" s="151">
        <v>59063</v>
      </c>
      <c r="K14" s="146">
        <f t="shared" si="1"/>
        <v>12968</v>
      </c>
    </row>
    <row r="15" spans="1:11" ht="12.75">
      <c r="A15" s="145"/>
      <c r="B15" s="2" t="s">
        <v>19</v>
      </c>
      <c r="C15" s="146">
        <v>59221.74833333334</v>
      </c>
      <c r="E15" s="331">
        <v>49549.51</v>
      </c>
      <c r="F15" s="147"/>
      <c r="G15" s="146">
        <f t="shared" si="0"/>
        <v>9672.238333333327</v>
      </c>
      <c r="I15" s="146">
        <v>33827.65</v>
      </c>
      <c r="J15" s="151">
        <v>26873</v>
      </c>
      <c r="K15" s="146">
        <f t="shared" si="1"/>
        <v>-6955</v>
      </c>
    </row>
    <row r="16" spans="1:11" ht="12.75">
      <c r="A16" s="145"/>
      <c r="B16" s="145" t="s">
        <v>21</v>
      </c>
      <c r="C16" s="146">
        <v>0</v>
      </c>
      <c r="E16" s="331">
        <v>23330</v>
      </c>
      <c r="F16" s="147"/>
      <c r="G16" s="146">
        <f t="shared" si="0"/>
        <v>-23330</v>
      </c>
      <c r="I16" s="146">
        <v>130539.53</v>
      </c>
      <c r="J16" s="151">
        <v>159930</v>
      </c>
      <c r="K16" s="146">
        <f t="shared" si="1"/>
        <v>29390</v>
      </c>
    </row>
    <row r="17" spans="1:11" ht="12.75">
      <c r="A17" s="145"/>
      <c r="B17" s="1" t="s">
        <v>42</v>
      </c>
      <c r="C17" s="153">
        <f>SUM(C12:C16)</f>
        <v>1099297.5083333333</v>
      </c>
      <c r="D17" s="153"/>
      <c r="E17" s="123">
        <f>SUM(E12:E16)</f>
        <v>1013939.92892</v>
      </c>
      <c r="F17" s="154"/>
      <c r="G17" s="153">
        <f t="shared" si="0"/>
        <v>85357.57941333333</v>
      </c>
      <c r="I17" s="153">
        <f>SUM(I12:I16)</f>
        <v>664455.64</v>
      </c>
      <c r="J17" s="123">
        <f>SUM(J12:J16)</f>
        <v>782801</v>
      </c>
      <c r="K17" s="153">
        <f>SUM(K12:K16)</f>
        <v>118344</v>
      </c>
    </row>
    <row r="18" spans="1:12" ht="12.75">
      <c r="A18" s="145"/>
      <c r="C18" s="148"/>
      <c r="D18" s="148"/>
      <c r="E18" s="124"/>
      <c r="F18" s="124"/>
      <c r="G18" s="121"/>
      <c r="H18" s="152"/>
      <c r="I18" s="121"/>
      <c r="J18" s="124"/>
      <c r="K18" s="121"/>
      <c r="L18" s="152"/>
    </row>
    <row r="19" spans="1:11" ht="12.75">
      <c r="A19" s="137"/>
      <c r="B19" s="2" t="s">
        <v>49</v>
      </c>
      <c r="C19" s="146">
        <v>1000</v>
      </c>
      <c r="E19" s="151">
        <v>2000</v>
      </c>
      <c r="F19" s="147"/>
      <c r="G19" s="146">
        <f>C19-E19</f>
        <v>-1000</v>
      </c>
      <c r="I19" s="146">
        <v>1638.07</v>
      </c>
      <c r="J19" s="151">
        <v>3900</v>
      </c>
      <c r="K19" s="146">
        <f t="shared" si="1"/>
        <v>2262</v>
      </c>
    </row>
    <row r="20" spans="1:11" ht="12.75">
      <c r="A20" s="145"/>
      <c r="B20" s="2" t="s">
        <v>50</v>
      </c>
      <c r="C20" s="146">
        <v>1000</v>
      </c>
      <c r="E20" s="151">
        <v>2000</v>
      </c>
      <c r="F20" s="147"/>
      <c r="G20" s="146">
        <f>C20-E20</f>
        <v>-1000</v>
      </c>
      <c r="I20" s="146">
        <v>2006.66</v>
      </c>
      <c r="J20" s="151">
        <v>3375</v>
      </c>
      <c r="K20" s="146">
        <f t="shared" si="1"/>
        <v>1368</v>
      </c>
    </row>
    <row r="21" spans="1:11" ht="12.75">
      <c r="A21" s="145"/>
      <c r="B21" s="2" t="s">
        <v>95</v>
      </c>
      <c r="C21" s="146">
        <v>4000</v>
      </c>
      <c r="E21" s="151">
        <v>4000</v>
      </c>
      <c r="F21" s="147"/>
      <c r="G21" s="146">
        <f>C21-E21</f>
        <v>0</v>
      </c>
      <c r="I21" s="146">
        <v>159.2</v>
      </c>
      <c r="J21" s="151">
        <v>1500</v>
      </c>
      <c r="K21" s="146">
        <f t="shared" si="1"/>
        <v>1341</v>
      </c>
    </row>
    <row r="22" spans="1:11" ht="12.75">
      <c r="A22" s="145"/>
      <c r="B22" s="1" t="s">
        <v>167</v>
      </c>
      <c r="C22" s="153">
        <f>SUM(C19:C21)</f>
        <v>6000</v>
      </c>
      <c r="D22" s="153"/>
      <c r="E22" s="123">
        <v>8000</v>
      </c>
      <c r="F22" s="154"/>
      <c r="G22" s="153">
        <f>C22-E22</f>
        <v>-2000</v>
      </c>
      <c r="I22" s="153">
        <f>SUM(I19:I21)</f>
        <v>3803.93</v>
      </c>
      <c r="J22" s="123">
        <f>SUM(J19:J21)</f>
        <v>8775</v>
      </c>
      <c r="K22" s="153">
        <f>SUM(K19:K21)</f>
        <v>4971</v>
      </c>
    </row>
    <row r="23" spans="1:12" ht="12.75">
      <c r="A23" s="145"/>
      <c r="C23" s="148"/>
      <c r="D23" s="148"/>
      <c r="E23" s="124"/>
      <c r="F23" s="124"/>
      <c r="G23" s="121"/>
      <c r="H23" s="152"/>
      <c r="I23" s="121"/>
      <c r="J23" s="124"/>
      <c r="K23" s="121"/>
      <c r="L23" s="152"/>
    </row>
    <row r="24" spans="1:11" ht="12.75">
      <c r="A24" s="145"/>
      <c r="B24" s="2" t="s">
        <v>140</v>
      </c>
      <c r="C24" s="146">
        <v>337687</v>
      </c>
      <c r="E24" s="331">
        <f>199306+10000</f>
        <v>209306</v>
      </c>
      <c r="F24" s="147"/>
      <c r="G24" s="146">
        <f>C24-E24</f>
        <v>128381</v>
      </c>
      <c r="I24" s="146">
        <v>113843.96</v>
      </c>
      <c r="J24" s="151">
        <v>130868</v>
      </c>
      <c r="K24" s="146">
        <f>ROUND(J24-I24,0)</f>
        <v>17024</v>
      </c>
    </row>
    <row r="25" spans="1:11" ht="12.75">
      <c r="A25" s="145"/>
      <c r="B25" s="2" t="s">
        <v>259</v>
      </c>
      <c r="C25" s="146">
        <v>360</v>
      </c>
      <c r="E25" s="151">
        <v>855</v>
      </c>
      <c r="F25" s="147"/>
      <c r="G25" s="146">
        <f>C25-E25</f>
        <v>-495</v>
      </c>
      <c r="I25" s="146"/>
      <c r="J25" s="151"/>
      <c r="K25" s="146"/>
    </row>
    <row r="26" spans="1:16" ht="12.75">
      <c r="A26" s="145"/>
      <c r="B26" s="1" t="s">
        <v>29</v>
      </c>
      <c r="C26" s="153">
        <f>SUM(C24:C25)</f>
        <v>338047</v>
      </c>
      <c r="D26" s="153"/>
      <c r="E26" s="123">
        <f>SUM(E24:E25)</f>
        <v>210161</v>
      </c>
      <c r="F26" s="154"/>
      <c r="G26" s="153">
        <f>SUM(G24:G25)</f>
        <v>127886</v>
      </c>
      <c r="I26" s="153">
        <f>SUM(I24)</f>
        <v>113843.96</v>
      </c>
      <c r="J26" s="123">
        <f>SUM(J24)</f>
        <v>130868</v>
      </c>
      <c r="K26" s="153">
        <f>SUM(K24)</f>
        <v>17024</v>
      </c>
      <c r="M26" s="164"/>
      <c r="N26" s="145"/>
      <c r="O26" s="145"/>
      <c r="P26" s="145"/>
    </row>
    <row r="27" spans="1:16" ht="12.75">
      <c r="A27" s="145"/>
      <c r="B27" s="1"/>
      <c r="C27" s="155"/>
      <c r="D27" s="155"/>
      <c r="E27" s="124"/>
      <c r="F27" s="124"/>
      <c r="G27" s="155"/>
      <c r="I27" s="155"/>
      <c r="J27" s="150"/>
      <c r="K27" s="155"/>
      <c r="M27" s="164"/>
      <c r="N27" s="145"/>
      <c r="O27" s="145"/>
      <c r="P27" s="145"/>
    </row>
    <row r="28" spans="1:16" ht="12.75">
      <c r="A28" s="145"/>
      <c r="B28" s="2" t="s">
        <v>418</v>
      </c>
      <c r="C28" s="146">
        <v>322416</v>
      </c>
      <c r="E28" s="151">
        <v>238000</v>
      </c>
      <c r="F28" s="147"/>
      <c r="G28" s="146">
        <f>C28-E28</f>
        <v>84416</v>
      </c>
      <c r="I28" s="146">
        <v>333744.79</v>
      </c>
      <c r="J28" s="151">
        <v>430358</v>
      </c>
      <c r="K28" s="146">
        <f>ROUND(J28-I28,0)</f>
        <v>96613</v>
      </c>
      <c r="L28" s="152"/>
      <c r="M28" s="145"/>
      <c r="N28" s="145"/>
      <c r="O28" s="145"/>
      <c r="P28" s="165"/>
    </row>
    <row r="29" spans="1:16" ht="12.75">
      <c r="A29" s="145"/>
      <c r="B29" s="2" t="s">
        <v>595</v>
      </c>
      <c r="C29" s="146">
        <v>48528</v>
      </c>
      <c r="E29" s="151">
        <v>0</v>
      </c>
      <c r="F29" s="147"/>
      <c r="G29" s="146">
        <f>C29-E29</f>
        <v>48528</v>
      </c>
      <c r="I29" s="146"/>
      <c r="J29" s="151"/>
      <c r="K29" s="146"/>
      <c r="L29" s="152"/>
      <c r="M29" s="145"/>
      <c r="N29" s="145"/>
      <c r="O29" s="145"/>
      <c r="P29" s="165"/>
    </row>
    <row r="30" spans="1:16" ht="12.75">
      <c r="A30" s="145"/>
      <c r="B30" s="2" t="s">
        <v>419</v>
      </c>
      <c r="C30" s="146">
        <v>153200</v>
      </c>
      <c r="E30" s="151">
        <v>62200</v>
      </c>
      <c r="F30" s="147"/>
      <c r="G30" s="146">
        <f>C30-E30</f>
        <v>91000</v>
      </c>
      <c r="I30" s="146"/>
      <c r="J30" s="151"/>
      <c r="K30" s="146"/>
      <c r="L30" s="152"/>
      <c r="M30" s="145"/>
      <c r="N30" s="145"/>
      <c r="O30" s="145"/>
      <c r="P30" s="165"/>
    </row>
    <row r="31" spans="1:16" ht="12.75">
      <c r="A31" s="145"/>
      <c r="B31" s="2" t="s">
        <v>204</v>
      </c>
      <c r="C31" s="146">
        <v>9480</v>
      </c>
      <c r="E31" s="151">
        <v>15928</v>
      </c>
      <c r="F31" s="147"/>
      <c r="G31" s="146">
        <f>C31-E31</f>
        <v>-6448</v>
      </c>
      <c r="I31" s="146">
        <v>8525.64</v>
      </c>
      <c r="J31" s="151">
        <v>11700</v>
      </c>
      <c r="K31" s="146">
        <f>ROUND(J31-I31,0)</f>
        <v>3174</v>
      </c>
      <c r="L31" s="152"/>
      <c r="M31" s="145"/>
      <c r="N31" s="145"/>
      <c r="O31" s="145"/>
      <c r="P31" s="165"/>
    </row>
    <row r="32" spans="1:16" ht="12.75">
      <c r="A32" s="145"/>
      <c r="B32" s="2" t="s">
        <v>464</v>
      </c>
      <c r="C32" s="146">
        <v>632</v>
      </c>
      <c r="E32" s="151">
        <v>5792</v>
      </c>
      <c r="F32" s="147"/>
      <c r="G32" s="146">
        <f>C32-E32</f>
        <v>-5160</v>
      </c>
      <c r="I32" s="146"/>
      <c r="J32" s="151"/>
      <c r="K32" s="146"/>
      <c r="L32" s="152"/>
      <c r="M32" s="145"/>
      <c r="N32" s="145"/>
      <c r="O32" s="145"/>
      <c r="P32" s="165"/>
    </row>
    <row r="33" spans="1:16" ht="12.75">
      <c r="A33" s="145"/>
      <c r="B33" s="1" t="s">
        <v>168</v>
      </c>
      <c r="C33" s="166">
        <f>SUM(C28:C32)</f>
        <v>534256</v>
      </c>
      <c r="D33" s="166"/>
      <c r="E33" s="123">
        <f>SUM(E28:E32)</f>
        <v>321920</v>
      </c>
      <c r="F33" s="154"/>
      <c r="G33" s="153">
        <f>SUM(G28:G32)</f>
        <v>212336</v>
      </c>
      <c r="H33" s="152"/>
      <c r="I33" s="166">
        <f>SUM(I28:I31)</f>
        <v>342270.43</v>
      </c>
      <c r="J33" s="123">
        <f>SUM(J28:J31)</f>
        <v>442058</v>
      </c>
      <c r="K33" s="153">
        <f>SUM(K28:K31)</f>
        <v>99787</v>
      </c>
      <c r="L33" s="152"/>
      <c r="M33" s="145"/>
      <c r="N33" s="145"/>
      <c r="O33" s="145"/>
      <c r="P33" s="165"/>
    </row>
    <row r="34" spans="1:16" ht="12.75">
      <c r="A34" s="145"/>
      <c r="B34" s="1"/>
      <c r="C34" s="121"/>
      <c r="D34" s="121"/>
      <c r="E34" s="124"/>
      <c r="F34" s="124"/>
      <c r="G34" s="155"/>
      <c r="H34" s="152"/>
      <c r="I34" s="121"/>
      <c r="J34" s="124"/>
      <c r="K34" s="155"/>
      <c r="L34" s="152"/>
      <c r="M34" s="145"/>
      <c r="N34" s="145"/>
      <c r="O34" s="145"/>
      <c r="P34" s="165"/>
    </row>
    <row r="35" spans="1:16" ht="12.75">
      <c r="A35" s="145"/>
      <c r="B35" s="2" t="s">
        <v>465</v>
      </c>
      <c r="C35" s="148">
        <v>15600</v>
      </c>
      <c r="D35" s="148"/>
      <c r="E35" s="150">
        <v>29870</v>
      </c>
      <c r="F35" s="124"/>
      <c r="G35" s="146">
        <f>C35-E35</f>
        <v>-14270</v>
      </c>
      <c r="H35" s="152"/>
      <c r="I35" s="121">
        <v>0</v>
      </c>
      <c r="J35" s="150">
        <v>0</v>
      </c>
      <c r="K35" s="146">
        <f>ROUND(J35-I35,0)</f>
        <v>0</v>
      </c>
      <c r="L35" s="152"/>
      <c r="M35" s="145"/>
      <c r="N35" s="145"/>
      <c r="O35" s="145"/>
      <c r="P35" s="167"/>
    </row>
    <row r="36" spans="1:12" ht="12.75">
      <c r="A36" s="145"/>
      <c r="B36" s="1" t="s">
        <v>269</v>
      </c>
      <c r="C36" s="166">
        <f>SUM(C35)</f>
        <v>15600</v>
      </c>
      <c r="D36" s="166"/>
      <c r="E36" s="123">
        <f>SUM(E35)</f>
        <v>29870</v>
      </c>
      <c r="F36" s="154"/>
      <c r="G36" s="166">
        <f>SUM(G35)</f>
        <v>-14270</v>
      </c>
      <c r="H36" s="152"/>
      <c r="I36" s="166">
        <f>SUM(I35)</f>
        <v>0</v>
      </c>
      <c r="J36" s="123">
        <f>SUM(J35)</f>
        <v>0</v>
      </c>
      <c r="K36" s="166">
        <f>SUM(K35)</f>
        <v>0</v>
      </c>
      <c r="L36" s="152"/>
    </row>
    <row r="37" spans="1:12" ht="12.75">
      <c r="A37" s="145"/>
      <c r="B37" s="1"/>
      <c r="C37" s="148"/>
      <c r="D37" s="148"/>
      <c r="E37" s="124"/>
      <c r="F37" s="124"/>
      <c r="G37" s="121"/>
      <c r="H37" s="152"/>
      <c r="I37" s="121"/>
      <c r="J37" s="124"/>
      <c r="K37" s="121"/>
      <c r="L37" s="152"/>
    </row>
    <row r="38" spans="1:11" ht="12.75">
      <c r="A38" s="145"/>
      <c r="B38" s="2" t="s">
        <v>417</v>
      </c>
      <c r="C38" s="146">
        <v>750</v>
      </c>
      <c r="E38" s="151">
        <v>750</v>
      </c>
      <c r="F38" s="147"/>
      <c r="G38" s="146">
        <f>C38-E38</f>
        <v>0</v>
      </c>
      <c r="I38" s="146"/>
      <c r="J38" s="151"/>
      <c r="K38" s="146"/>
    </row>
    <row r="39" spans="1:11" ht="12.75">
      <c r="A39" s="145"/>
      <c r="B39" s="2" t="s">
        <v>83</v>
      </c>
      <c r="C39" s="146">
        <v>4310</v>
      </c>
      <c r="E39" s="151">
        <v>750</v>
      </c>
      <c r="F39" s="147"/>
      <c r="G39" s="146">
        <f>C39-E39</f>
        <v>3560</v>
      </c>
      <c r="I39" s="146">
        <v>0</v>
      </c>
      <c r="J39" s="151">
        <v>0</v>
      </c>
      <c r="K39" s="146">
        <f>ROUND(J39-I39,0)</f>
        <v>0</v>
      </c>
    </row>
    <row r="40" spans="1:11" ht="12.75">
      <c r="A40" s="145"/>
      <c r="B40" s="2" t="s">
        <v>84</v>
      </c>
      <c r="C40" s="146">
        <v>0</v>
      </c>
      <c r="E40" s="151">
        <v>270</v>
      </c>
      <c r="F40" s="147"/>
      <c r="G40" s="146">
        <f>C40-E40</f>
        <v>-270</v>
      </c>
      <c r="I40" s="146"/>
      <c r="J40" s="151"/>
      <c r="K40" s="146"/>
    </row>
    <row r="41" spans="1:11" ht="12.75">
      <c r="A41" s="145"/>
      <c r="B41" s="2" t="s">
        <v>219</v>
      </c>
      <c r="C41" s="146">
        <v>4000</v>
      </c>
      <c r="E41" s="151">
        <v>20000</v>
      </c>
      <c r="F41" s="147"/>
      <c r="G41" s="146">
        <f>C41-E41</f>
        <v>-16000</v>
      </c>
      <c r="I41" s="146">
        <v>0</v>
      </c>
      <c r="J41" s="151">
        <v>9375</v>
      </c>
      <c r="K41" s="146">
        <f>ROUND(J41-I41,0)</f>
        <v>9375</v>
      </c>
    </row>
    <row r="42" spans="1:11" ht="12.75">
      <c r="A42" s="152"/>
      <c r="B42" s="149" t="s">
        <v>82</v>
      </c>
      <c r="C42" s="146">
        <v>21250</v>
      </c>
      <c r="E42" s="151">
        <v>20000</v>
      </c>
      <c r="F42" s="147"/>
      <c r="G42" s="146">
        <f>C42-E42</f>
        <v>1250</v>
      </c>
      <c r="I42" s="146">
        <v>9071.11</v>
      </c>
      <c r="J42" s="151">
        <v>27000</v>
      </c>
      <c r="K42" s="146">
        <f>ROUND(J42-I42,0)</f>
        <v>17929</v>
      </c>
    </row>
    <row r="43" spans="1:11" ht="12.75">
      <c r="A43" s="145"/>
      <c r="B43" s="1" t="s">
        <v>16</v>
      </c>
      <c r="C43" s="153">
        <f>SUM(C38:C42)</f>
        <v>30310</v>
      </c>
      <c r="D43" s="153"/>
      <c r="E43" s="123">
        <f>SUM(E38:E42)</f>
        <v>41770</v>
      </c>
      <c r="F43" s="154"/>
      <c r="G43" s="153">
        <f>SUM(G38:G42)</f>
        <v>-11460</v>
      </c>
      <c r="I43" s="153">
        <f>SUM(I38:I42)</f>
        <v>9071.11</v>
      </c>
      <c r="J43" s="123">
        <f>SUM(J38:J42)</f>
        <v>36375</v>
      </c>
      <c r="K43" s="153">
        <f>SUM(K38:K42)</f>
        <v>27304</v>
      </c>
    </row>
    <row r="44" spans="1:12" ht="12.75">
      <c r="A44" s="145"/>
      <c r="C44" s="156"/>
      <c r="D44" s="156"/>
      <c r="E44" s="157"/>
      <c r="F44" s="157"/>
      <c r="G44" s="158"/>
      <c r="H44" s="149"/>
      <c r="I44" s="158"/>
      <c r="J44" s="157"/>
      <c r="K44" s="158"/>
      <c r="L44" s="149"/>
    </row>
    <row r="45" spans="2:11" ht="12.75">
      <c r="B45" s="1" t="s">
        <v>88</v>
      </c>
      <c r="C45" s="156">
        <f>C17+C22+C43+C26+C36+C33</f>
        <v>2023510.5083333333</v>
      </c>
      <c r="D45" s="156"/>
      <c r="E45" s="159">
        <f>E17+E22+E26+E33+E36+E43</f>
        <v>1625660.9289199999</v>
      </c>
      <c r="F45" s="157"/>
      <c r="G45" s="153">
        <f>C45-E45</f>
        <v>397849.57941333344</v>
      </c>
      <c r="I45" s="156">
        <f>I17+I22+I26+I33+I36+I43</f>
        <v>1133445.07</v>
      </c>
      <c r="J45" s="159">
        <f>J17+J22+J26+J33+J36+J43</f>
        <v>1400877</v>
      </c>
      <c r="K45" s="156">
        <f>K17+K22+K26+K33+K36+K43</f>
        <v>267430</v>
      </c>
    </row>
    <row r="46" ht="12.75">
      <c r="F46" s="147"/>
    </row>
    <row r="47" spans="3:5" ht="12.75">
      <c r="C47" s="146">
        <v>0</v>
      </c>
      <c r="E47" s="127">
        <v>0</v>
      </c>
    </row>
  </sheetData>
  <mergeCells count="1">
    <mergeCell ref="I8:K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&amp;C&amp;F</oddHeader>
    <oddFooter>&amp;CPage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7"/>
  </sheetPr>
  <dimension ref="A1:L43"/>
  <sheetViews>
    <sheetView workbookViewId="0" topLeftCell="A1">
      <selection activeCell="R53" sqref="R53"/>
    </sheetView>
  </sheetViews>
  <sheetFormatPr defaultColWidth="9.140625" defaultRowHeight="12.75"/>
  <cols>
    <col min="1" max="1" width="17.8515625" style="2" customWidth="1"/>
    <col min="2" max="2" width="29.7109375" style="2" bestFit="1" customWidth="1"/>
    <col min="3" max="3" width="10.421875" style="146" bestFit="1" customWidth="1"/>
    <col min="4" max="4" width="4.140625" style="146" customWidth="1"/>
    <col min="5" max="5" width="12.28125" style="127" bestFit="1" customWidth="1"/>
    <col min="6" max="6" width="4.140625" style="127" customWidth="1"/>
    <col min="7" max="7" width="10.00390625" style="146" customWidth="1"/>
    <col min="8" max="8" width="2.57421875" style="2" customWidth="1"/>
    <col min="9" max="11" width="10.00390625" style="2" hidden="1" customWidth="1"/>
    <col min="12" max="12" width="2.57421875" style="2" customWidth="1"/>
    <col min="13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248</v>
      </c>
    </row>
    <row r="5" spans="1:7" s="1" customFormat="1" ht="12.75">
      <c r="A5" s="129" t="s">
        <v>36</v>
      </c>
      <c r="B5" s="128" t="s">
        <v>249</v>
      </c>
      <c r="G5" s="127"/>
    </row>
    <row r="6" spans="1:7" s="1" customFormat="1" ht="12.75">
      <c r="A6" s="128" t="s">
        <v>37</v>
      </c>
      <c r="B6" s="128" t="s">
        <v>180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11" s="1" customFormat="1" ht="12.75">
      <c r="C8" s="133" t="s">
        <v>38</v>
      </c>
      <c r="D8" s="134"/>
      <c r="E8" s="333" t="s">
        <v>476</v>
      </c>
      <c r="F8" s="134"/>
      <c r="G8" s="134"/>
      <c r="I8" s="429" t="s">
        <v>363</v>
      </c>
      <c r="J8" s="430"/>
      <c r="K8" s="402"/>
    </row>
    <row r="9" spans="2:11" s="136" customFormat="1" ht="12.75">
      <c r="B9" s="137"/>
      <c r="C9" s="139" t="s">
        <v>494</v>
      </c>
      <c r="D9" s="139"/>
      <c r="E9" s="334" t="s">
        <v>279</v>
      </c>
      <c r="F9" s="160"/>
      <c r="G9" s="160" t="s">
        <v>39</v>
      </c>
      <c r="I9" s="143" t="s">
        <v>141</v>
      </c>
      <c r="J9" s="143" t="s">
        <v>13</v>
      </c>
      <c r="K9" s="143" t="s">
        <v>39</v>
      </c>
    </row>
    <row r="10" spans="3:11" s="136" customFormat="1" ht="12.75">
      <c r="C10" s="144" t="s">
        <v>40</v>
      </c>
      <c r="D10" s="144"/>
      <c r="E10" s="184" t="s">
        <v>40</v>
      </c>
      <c r="F10" s="144"/>
      <c r="G10" s="144" t="s">
        <v>40</v>
      </c>
      <c r="I10" s="136" t="s">
        <v>40</v>
      </c>
      <c r="J10" s="136" t="s">
        <v>40</v>
      </c>
      <c r="K10" s="136" t="s">
        <v>40</v>
      </c>
    </row>
    <row r="11" spans="3:7" s="136" customFormat="1" ht="12.75">
      <c r="C11" s="144"/>
      <c r="D11" s="144"/>
      <c r="E11" s="184"/>
      <c r="F11" s="144"/>
      <c r="G11" s="144"/>
    </row>
    <row r="12" spans="1:11" ht="12.75">
      <c r="A12" s="152"/>
      <c r="B12" s="149" t="s">
        <v>17</v>
      </c>
      <c r="C12" s="146">
        <v>280094</v>
      </c>
      <c r="E12" s="151">
        <v>263384.6666666667</v>
      </c>
      <c r="F12" s="147"/>
      <c r="G12" s="146">
        <f>C12-E12</f>
        <v>16709.333333333314</v>
      </c>
      <c r="I12" s="146">
        <v>89877.15</v>
      </c>
      <c r="J12" s="151">
        <v>130418</v>
      </c>
      <c r="K12" s="146">
        <v>40541</v>
      </c>
    </row>
    <row r="13" spans="1:11" ht="12.75">
      <c r="A13" s="152"/>
      <c r="B13" s="149" t="s">
        <v>18</v>
      </c>
      <c r="C13" s="146">
        <v>35852.032</v>
      </c>
      <c r="E13" s="151">
        <v>33713.23733333334</v>
      </c>
      <c r="F13" s="147"/>
      <c r="G13" s="146">
        <f>C13-E13</f>
        <v>2138.794666666661</v>
      </c>
      <c r="I13" s="146">
        <v>10105.87</v>
      </c>
      <c r="J13" s="151">
        <v>14346</v>
      </c>
      <c r="K13" s="146">
        <v>4240</v>
      </c>
    </row>
    <row r="14" spans="1:11" ht="12.75">
      <c r="A14" s="152"/>
      <c r="B14" s="149" t="s">
        <v>19</v>
      </c>
      <c r="C14" s="146">
        <v>29300.95</v>
      </c>
      <c r="E14" s="151">
        <v>24313.575</v>
      </c>
      <c r="F14" s="147"/>
      <c r="G14" s="146">
        <f>C14-E14</f>
        <v>4987.375000000004</v>
      </c>
      <c r="I14" s="146">
        <v>13856.71</v>
      </c>
      <c r="J14" s="151">
        <v>15995</v>
      </c>
      <c r="K14" s="146">
        <v>2138</v>
      </c>
    </row>
    <row r="15" spans="1:11" ht="12.75">
      <c r="A15" s="152"/>
      <c r="B15" s="149" t="s">
        <v>21</v>
      </c>
      <c r="C15" s="146">
        <v>0</v>
      </c>
      <c r="E15" s="151">
        <v>11665</v>
      </c>
      <c r="F15" s="147"/>
      <c r="G15" s="146">
        <f>C15-E15</f>
        <v>-11665</v>
      </c>
      <c r="I15" s="146">
        <v>107254.86</v>
      </c>
      <c r="J15" s="151">
        <v>52490</v>
      </c>
      <c r="K15" s="146">
        <v>-54765</v>
      </c>
    </row>
    <row r="16" spans="1:11" ht="12.75">
      <c r="A16" s="152"/>
      <c r="B16" s="161" t="s">
        <v>42</v>
      </c>
      <c r="C16" s="153">
        <f>SUM(C12:C15)</f>
        <v>345246.982</v>
      </c>
      <c r="D16" s="153"/>
      <c r="E16" s="123">
        <f>SUM(E12:E15)</f>
        <v>333076.47900000005</v>
      </c>
      <c r="F16" s="154"/>
      <c r="G16" s="153">
        <f>SUM(G12:G15)</f>
        <v>12170.502999999979</v>
      </c>
      <c r="I16" s="153">
        <v>228171.19</v>
      </c>
      <c r="J16" s="123">
        <v>222624</v>
      </c>
      <c r="K16" s="153">
        <v>-5547.189999999973</v>
      </c>
    </row>
    <row r="17" spans="1:12" ht="12.75">
      <c r="A17" s="152"/>
      <c r="B17" s="149"/>
      <c r="C17" s="148"/>
      <c r="D17" s="148"/>
      <c r="E17" s="147"/>
      <c r="F17" s="124"/>
      <c r="G17" s="121"/>
      <c r="H17" s="152"/>
      <c r="I17" s="121"/>
      <c r="J17" s="124"/>
      <c r="K17" s="121"/>
      <c r="L17" s="152"/>
    </row>
    <row r="18" spans="1:11" ht="12.75">
      <c r="A18" s="152"/>
      <c r="B18" s="149" t="s">
        <v>49</v>
      </c>
      <c r="C18" s="146">
        <v>5160</v>
      </c>
      <c r="E18" s="151">
        <v>3040</v>
      </c>
      <c r="F18" s="147"/>
      <c r="G18" s="146">
        <f>C18-E18</f>
        <v>2120</v>
      </c>
      <c r="I18" s="146">
        <v>2865.22</v>
      </c>
      <c r="J18" s="151">
        <v>4530</v>
      </c>
      <c r="K18" s="146">
        <v>1665</v>
      </c>
    </row>
    <row r="19" spans="1:11" ht="12.75">
      <c r="A19" s="152"/>
      <c r="B19" s="149" t="s">
        <v>50</v>
      </c>
      <c r="C19" s="146">
        <v>1500</v>
      </c>
      <c r="E19" s="151">
        <v>2550</v>
      </c>
      <c r="F19" s="147"/>
      <c r="G19" s="146">
        <f>C19-E19</f>
        <v>-1050</v>
      </c>
      <c r="I19" s="146">
        <v>3350.3</v>
      </c>
      <c r="J19" s="151">
        <v>1928</v>
      </c>
      <c r="K19" s="146">
        <v>-1422</v>
      </c>
    </row>
    <row r="20" spans="1:11" ht="12.75">
      <c r="A20" s="152"/>
      <c r="B20" s="161" t="s">
        <v>14</v>
      </c>
      <c r="C20" s="153">
        <f>SUM(C18:C19)</f>
        <v>6660</v>
      </c>
      <c r="D20" s="153"/>
      <c r="E20" s="123">
        <f>SUM(E18:E19)</f>
        <v>5590</v>
      </c>
      <c r="F20" s="154"/>
      <c r="G20" s="153">
        <f>SUM(G18:G19)</f>
        <v>1070</v>
      </c>
      <c r="I20" s="153">
        <v>6215.52</v>
      </c>
      <c r="J20" s="123">
        <v>6458</v>
      </c>
      <c r="K20" s="153">
        <v>242.48</v>
      </c>
    </row>
    <row r="21" spans="1:12" ht="12.75" hidden="1">
      <c r="A21" s="152"/>
      <c r="B21" s="149"/>
      <c r="E21" s="151"/>
      <c r="F21" s="147"/>
      <c r="G21" s="148"/>
      <c r="H21" s="149"/>
      <c r="I21" s="148"/>
      <c r="J21" s="147"/>
      <c r="K21" s="148"/>
      <c r="L21" s="149"/>
    </row>
    <row r="22" spans="1:11" ht="12.75" hidden="1">
      <c r="A22" s="152"/>
      <c r="B22" s="149" t="s">
        <v>258</v>
      </c>
      <c r="C22" s="146">
        <v>0</v>
      </c>
      <c r="E22" s="151">
        <v>0</v>
      </c>
      <c r="F22" s="147"/>
      <c r="G22" s="146">
        <f>ROUND(E22-C22,0)</f>
        <v>0</v>
      </c>
      <c r="I22" s="146">
        <v>0</v>
      </c>
      <c r="J22" s="151">
        <v>0</v>
      </c>
      <c r="K22" s="146">
        <v>0</v>
      </c>
    </row>
    <row r="23" spans="1:11" ht="12.75" hidden="1">
      <c r="A23" s="152"/>
      <c r="B23" s="1" t="s">
        <v>29</v>
      </c>
      <c r="C23" s="153">
        <f>SUM(C22:C22)</f>
        <v>0</v>
      </c>
      <c r="D23" s="153"/>
      <c r="E23" s="123">
        <v>0</v>
      </c>
      <c r="F23" s="154"/>
      <c r="G23" s="153">
        <f>E23-C23</f>
        <v>0</v>
      </c>
      <c r="I23" s="153">
        <v>0</v>
      </c>
      <c r="J23" s="123">
        <v>0</v>
      </c>
      <c r="K23" s="153">
        <v>0</v>
      </c>
    </row>
    <row r="24" spans="1:12" ht="12.75">
      <c r="A24" s="152"/>
      <c r="B24" s="161"/>
      <c r="C24" s="155"/>
      <c r="D24" s="155"/>
      <c r="E24" s="124"/>
      <c r="F24" s="124"/>
      <c r="G24" s="121"/>
      <c r="H24" s="149"/>
      <c r="I24" s="121"/>
      <c r="J24" s="124"/>
      <c r="K24" s="121"/>
      <c r="L24" s="149"/>
    </row>
    <row r="25" spans="1:12" ht="12.75">
      <c r="A25" s="152"/>
      <c r="B25" s="149" t="s">
        <v>270</v>
      </c>
      <c r="C25" s="155">
        <v>500</v>
      </c>
      <c r="D25" s="155"/>
      <c r="E25" s="150">
        <v>500</v>
      </c>
      <c r="F25" s="124"/>
      <c r="G25" s="146">
        <f>C25-E25</f>
        <v>0</v>
      </c>
      <c r="H25" s="149"/>
      <c r="I25" s="121"/>
      <c r="J25" s="124"/>
      <c r="K25" s="121"/>
      <c r="L25" s="149"/>
    </row>
    <row r="26" spans="1:12" ht="12.75">
      <c r="A26" s="152"/>
      <c r="B26" s="149" t="s">
        <v>227</v>
      </c>
      <c r="C26" s="155">
        <v>1080</v>
      </c>
      <c r="D26" s="155"/>
      <c r="E26" s="150">
        <v>800</v>
      </c>
      <c r="F26" s="124"/>
      <c r="G26" s="146">
        <f>C26-E26</f>
        <v>280</v>
      </c>
      <c r="H26" s="149"/>
      <c r="I26" s="121"/>
      <c r="J26" s="124"/>
      <c r="K26" s="121"/>
      <c r="L26" s="149"/>
    </row>
    <row r="27" spans="1:12" ht="12.75">
      <c r="A27" s="152"/>
      <c r="B27" s="161" t="s">
        <v>63</v>
      </c>
      <c r="C27" s="153">
        <f>SUM(C25:C26)</f>
        <v>1580</v>
      </c>
      <c r="D27" s="153"/>
      <c r="E27" s="123">
        <f>SUM(E25:E26)</f>
        <v>1300</v>
      </c>
      <c r="F27" s="154"/>
      <c r="G27" s="166">
        <f>SUM(G25:G26)</f>
        <v>280</v>
      </c>
      <c r="H27" s="149"/>
      <c r="I27" s="121"/>
      <c r="J27" s="124"/>
      <c r="K27" s="121"/>
      <c r="L27" s="149"/>
    </row>
    <row r="28" spans="1:12" ht="12.75">
      <c r="A28" s="152"/>
      <c r="B28" s="161"/>
      <c r="C28" s="155"/>
      <c r="D28" s="155"/>
      <c r="E28" s="124"/>
      <c r="F28" s="124"/>
      <c r="G28" s="121"/>
      <c r="H28" s="149"/>
      <c r="I28" s="121"/>
      <c r="J28" s="124"/>
      <c r="K28" s="121"/>
      <c r="L28" s="149"/>
    </row>
    <row r="29" spans="1:12" ht="12.75">
      <c r="A29" s="152"/>
      <c r="B29" s="2" t="s">
        <v>465</v>
      </c>
      <c r="C29" s="148">
        <v>21000</v>
      </c>
      <c r="D29" s="148"/>
      <c r="E29" s="150">
        <v>0</v>
      </c>
      <c r="F29" s="124"/>
      <c r="G29" s="146">
        <f>C29-E29</f>
        <v>21000</v>
      </c>
      <c r="H29" s="149"/>
      <c r="I29" s="121"/>
      <c r="J29" s="124"/>
      <c r="K29" s="121"/>
      <c r="L29" s="149"/>
    </row>
    <row r="30" spans="1:12" ht="12.75">
      <c r="A30" s="152"/>
      <c r="B30" s="1" t="s">
        <v>269</v>
      </c>
      <c r="C30" s="166">
        <f>SUM(C29)</f>
        <v>21000</v>
      </c>
      <c r="D30" s="166"/>
      <c r="E30" s="123">
        <f>SUM(E29)</f>
        <v>0</v>
      </c>
      <c r="F30" s="154"/>
      <c r="G30" s="166">
        <f>SUM(G29)</f>
        <v>21000</v>
      </c>
      <c r="H30" s="149"/>
      <c r="I30" s="121"/>
      <c r="J30" s="124"/>
      <c r="K30" s="121"/>
      <c r="L30" s="149"/>
    </row>
    <row r="31" spans="1:12" ht="12.75">
      <c r="A31" s="152"/>
      <c r="B31" s="161"/>
      <c r="C31" s="155"/>
      <c r="D31" s="155"/>
      <c r="E31" s="124"/>
      <c r="F31" s="124"/>
      <c r="G31" s="121"/>
      <c r="H31" s="149"/>
      <c r="I31" s="121"/>
      <c r="J31" s="124"/>
      <c r="K31" s="121"/>
      <c r="L31" s="149"/>
    </row>
    <row r="32" spans="1:12" ht="12.75">
      <c r="A32" s="152"/>
      <c r="B32" s="2" t="s">
        <v>72</v>
      </c>
      <c r="C32" s="155">
        <v>17000</v>
      </c>
      <c r="D32" s="155"/>
      <c r="E32" s="150">
        <v>16000</v>
      </c>
      <c r="F32" s="124"/>
      <c r="G32" s="146">
        <f aca="true" t="shared" si="0" ref="G32:G38">C32-E32</f>
        <v>1000</v>
      </c>
      <c r="H32" s="149"/>
      <c r="I32" s="121"/>
      <c r="J32" s="124"/>
      <c r="K32" s="121"/>
      <c r="L32" s="149"/>
    </row>
    <row r="33" spans="1:12" ht="12.75">
      <c r="A33" s="145"/>
      <c r="B33" s="2" t="s">
        <v>87</v>
      </c>
      <c r="C33" s="146">
        <v>20000</v>
      </c>
      <c r="E33" s="151">
        <v>19000</v>
      </c>
      <c r="F33" s="147"/>
      <c r="G33" s="146">
        <f t="shared" si="0"/>
        <v>1000</v>
      </c>
      <c r="H33" s="149"/>
      <c r="I33" s="121"/>
      <c r="J33" s="124"/>
      <c r="K33" s="121"/>
      <c r="L33" s="149"/>
    </row>
    <row r="34" spans="1:11" ht="12.75">
      <c r="A34" s="145"/>
      <c r="B34" s="2" t="s">
        <v>417</v>
      </c>
      <c r="C34" s="146">
        <v>600</v>
      </c>
      <c r="E34" s="151">
        <v>2416</v>
      </c>
      <c r="F34" s="147"/>
      <c r="G34" s="146">
        <f t="shared" si="0"/>
        <v>-1816</v>
      </c>
      <c r="H34" s="149"/>
      <c r="I34" s="146"/>
      <c r="J34" s="151"/>
      <c r="K34" s="146"/>
    </row>
    <row r="35" spans="1:11" ht="12.75">
      <c r="A35" s="145"/>
      <c r="B35" s="2" t="s">
        <v>83</v>
      </c>
      <c r="C35" s="146">
        <v>800</v>
      </c>
      <c r="E35" s="151">
        <v>2000</v>
      </c>
      <c r="F35" s="147"/>
      <c r="G35" s="146">
        <f t="shared" si="0"/>
        <v>-1200</v>
      </c>
      <c r="H35" s="149"/>
      <c r="I35" s="146">
        <v>0</v>
      </c>
      <c r="J35" s="151">
        <v>0</v>
      </c>
      <c r="K35" s="146">
        <v>0</v>
      </c>
    </row>
    <row r="36" spans="1:11" ht="12.75">
      <c r="A36" s="152"/>
      <c r="B36" s="149" t="s">
        <v>219</v>
      </c>
      <c r="C36" s="146">
        <v>15000</v>
      </c>
      <c r="E36" s="151">
        <v>7000</v>
      </c>
      <c r="F36" s="147"/>
      <c r="G36" s="146">
        <f t="shared" si="0"/>
        <v>8000</v>
      </c>
      <c r="I36" s="146">
        <v>3501.5</v>
      </c>
      <c r="J36" s="151">
        <v>3750</v>
      </c>
      <c r="K36" s="146">
        <v>249</v>
      </c>
    </row>
    <row r="37" spans="1:11" ht="12.75">
      <c r="A37" s="152"/>
      <c r="B37" s="149" t="s">
        <v>260</v>
      </c>
      <c r="C37" s="146">
        <v>15640</v>
      </c>
      <c r="E37" s="151">
        <v>6200</v>
      </c>
      <c r="F37" s="147"/>
      <c r="G37" s="146">
        <f t="shared" si="0"/>
        <v>9440</v>
      </c>
      <c r="I37" s="146">
        <v>2014.83</v>
      </c>
      <c r="J37" s="151">
        <v>7535</v>
      </c>
      <c r="K37" s="146">
        <v>5520</v>
      </c>
    </row>
    <row r="38" spans="1:11" ht="12.75">
      <c r="A38" s="152"/>
      <c r="B38" s="149" t="s">
        <v>82</v>
      </c>
      <c r="C38" s="146">
        <v>7450</v>
      </c>
      <c r="E38" s="151">
        <v>8450</v>
      </c>
      <c r="F38" s="147"/>
      <c r="G38" s="146">
        <f t="shared" si="0"/>
        <v>-1000</v>
      </c>
      <c r="I38" s="146">
        <v>2817.74</v>
      </c>
      <c r="J38" s="151">
        <v>5625</v>
      </c>
      <c r="K38" s="146">
        <v>2807</v>
      </c>
    </row>
    <row r="39" spans="1:11" ht="12.75">
      <c r="A39" s="152"/>
      <c r="B39" s="161" t="s">
        <v>16</v>
      </c>
      <c r="C39" s="153">
        <f>SUM(C32:C38)</f>
        <v>76490</v>
      </c>
      <c r="D39" s="153"/>
      <c r="E39" s="123">
        <f>SUM(E32:E38)</f>
        <v>61066</v>
      </c>
      <c r="F39" s="154"/>
      <c r="G39" s="153">
        <f>SUM(G34:G38)</f>
        <v>13424</v>
      </c>
      <c r="I39" s="153">
        <f>SUM(I34:I38)</f>
        <v>8334.07</v>
      </c>
      <c r="J39" s="153">
        <f>SUM(J34:J38)</f>
        <v>16910</v>
      </c>
      <c r="K39" s="153">
        <f>SUM(K34:K38)</f>
        <v>8576</v>
      </c>
    </row>
    <row r="40" spans="1:12" ht="12.75">
      <c r="A40" s="145"/>
      <c r="C40" s="156"/>
      <c r="D40" s="156"/>
      <c r="E40" s="157"/>
      <c r="F40" s="157"/>
      <c r="G40" s="158"/>
      <c r="H40" s="149"/>
      <c r="I40" s="158"/>
      <c r="J40" s="157"/>
      <c r="K40" s="158"/>
      <c r="L40" s="149"/>
    </row>
    <row r="41" spans="2:11" ht="12.75">
      <c r="B41" s="1" t="s">
        <v>88</v>
      </c>
      <c r="C41" s="156">
        <f>C16+C20+C23+C39+C30+C27</f>
        <v>450976.982</v>
      </c>
      <c r="D41" s="156"/>
      <c r="E41" s="159">
        <f>E16+E20+E39+E27+E30</f>
        <v>401032.47900000005</v>
      </c>
      <c r="F41" s="157"/>
      <c r="G41" s="153">
        <f>C41-E41</f>
        <v>49944.50299999997</v>
      </c>
      <c r="I41" s="156">
        <v>243781.21</v>
      </c>
      <c r="J41" s="159">
        <v>245992</v>
      </c>
      <c r="K41" s="153">
        <v>2210.7900000000373</v>
      </c>
    </row>
    <row r="42" spans="5:6" ht="12.75">
      <c r="E42" s="146"/>
      <c r="F42" s="147"/>
    </row>
    <row r="43" spans="3:5" ht="12.75">
      <c r="C43" s="146">
        <v>0</v>
      </c>
      <c r="E43" s="127">
        <v>0</v>
      </c>
    </row>
  </sheetData>
  <mergeCells count="1">
    <mergeCell ref="I8:K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&amp;C&amp;F</oddHeader>
    <oddFooter>&amp;CPage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7"/>
  </sheetPr>
  <dimension ref="A1:M53"/>
  <sheetViews>
    <sheetView zoomScale="95" zoomScaleNormal="95" workbookViewId="0" topLeftCell="A10">
      <selection activeCell="B37" sqref="B37"/>
    </sheetView>
  </sheetViews>
  <sheetFormatPr defaultColWidth="9.140625" defaultRowHeight="12.75"/>
  <cols>
    <col min="1" max="1" width="17.8515625" style="2" customWidth="1"/>
    <col min="2" max="2" width="32.421875" style="2" customWidth="1"/>
    <col min="3" max="3" width="10.57421875" style="146" bestFit="1" customWidth="1"/>
    <col min="4" max="4" width="4.7109375" style="146" customWidth="1"/>
    <col min="5" max="5" width="13.28125" style="127" bestFit="1" customWidth="1"/>
    <col min="6" max="6" width="4.8515625" style="127" customWidth="1"/>
    <col min="7" max="7" width="10.00390625" style="146" customWidth="1"/>
    <col min="8" max="8" width="2.57421875" style="2" customWidth="1"/>
    <col min="9" max="11" width="10.00390625" style="2" hidden="1" customWidth="1"/>
    <col min="12" max="12" width="2.57421875" style="2" customWidth="1"/>
    <col min="13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630</v>
      </c>
    </row>
    <row r="5" spans="1:7" s="1" customFormat="1" ht="12.75">
      <c r="A5" s="129" t="s">
        <v>36</v>
      </c>
      <c r="B5" s="128" t="s">
        <v>5</v>
      </c>
      <c r="G5" s="127"/>
    </row>
    <row r="6" spans="1:7" s="1" customFormat="1" ht="12.75">
      <c r="A6" s="128" t="s">
        <v>37</v>
      </c>
      <c r="B6" s="128" t="s">
        <v>435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11" s="1" customFormat="1" ht="12.75">
      <c r="C8" s="133" t="s">
        <v>38</v>
      </c>
      <c r="D8" s="134"/>
      <c r="E8" s="133" t="s">
        <v>476</v>
      </c>
      <c r="F8" s="134"/>
      <c r="G8" s="134"/>
      <c r="I8" s="429" t="s">
        <v>363</v>
      </c>
      <c r="J8" s="430"/>
      <c r="K8" s="402"/>
    </row>
    <row r="9" spans="2:11" s="136" customFormat="1" ht="12.75">
      <c r="B9" s="137"/>
      <c r="C9" s="168" t="s">
        <v>494</v>
      </c>
      <c r="D9" s="139"/>
      <c r="E9" s="160" t="s">
        <v>279</v>
      </c>
      <c r="F9" s="160"/>
      <c r="G9" s="160" t="s">
        <v>39</v>
      </c>
      <c r="I9" s="143" t="s">
        <v>141</v>
      </c>
      <c r="J9" s="143" t="s">
        <v>13</v>
      </c>
      <c r="K9" s="143" t="s">
        <v>39</v>
      </c>
    </row>
    <row r="10" spans="3:11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  <c r="I10" s="136" t="s">
        <v>40</v>
      </c>
      <c r="J10" s="136" t="s">
        <v>40</v>
      </c>
      <c r="K10" s="136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11" ht="12.75">
      <c r="A12" s="145"/>
      <c r="B12" s="2" t="s">
        <v>17</v>
      </c>
      <c r="C12" s="146">
        <v>218465</v>
      </c>
      <c r="E12" s="331">
        <v>185839.91666666666</v>
      </c>
      <c r="F12" s="147"/>
      <c r="G12" s="146">
        <f aca="true" t="shared" si="0" ref="G12:G17">C12-E12</f>
        <v>32625.083333333343</v>
      </c>
      <c r="I12" s="146">
        <v>111294.47</v>
      </c>
      <c r="J12" s="151">
        <v>115742</v>
      </c>
      <c r="K12" s="146">
        <v>4448</v>
      </c>
    </row>
    <row r="13" spans="1:11" ht="12.75">
      <c r="A13" s="145"/>
      <c r="B13" s="2" t="s">
        <v>20</v>
      </c>
      <c r="C13" s="146">
        <v>3252</v>
      </c>
      <c r="E13" s="331">
        <v>3650</v>
      </c>
      <c r="F13" s="147"/>
      <c r="G13" s="146">
        <f t="shared" si="0"/>
        <v>-398</v>
      </c>
      <c r="I13" s="146">
        <v>222.25</v>
      </c>
      <c r="J13" s="151">
        <v>1500</v>
      </c>
      <c r="K13" s="146">
        <v>1278</v>
      </c>
    </row>
    <row r="14" spans="1:11" ht="12.75">
      <c r="A14" s="145"/>
      <c r="B14" s="2" t="s">
        <v>18</v>
      </c>
      <c r="C14" s="146">
        <v>27963.52</v>
      </c>
      <c r="E14" s="331">
        <f>E12*12.8%</f>
        <v>23787.50933333333</v>
      </c>
      <c r="F14" s="147"/>
      <c r="G14" s="146">
        <f t="shared" si="0"/>
        <v>4176.010666666669</v>
      </c>
      <c r="I14" s="146">
        <v>12076.88</v>
      </c>
      <c r="J14" s="151">
        <v>12897</v>
      </c>
      <c r="K14" s="146">
        <v>820</v>
      </c>
    </row>
    <row r="15" spans="1:11" ht="12.75">
      <c r="A15" s="145"/>
      <c r="B15" s="2" t="s">
        <v>19</v>
      </c>
      <c r="C15" s="146">
        <v>19895.585000000006</v>
      </c>
      <c r="E15" s="331">
        <v>9103.315</v>
      </c>
      <c r="F15" s="147"/>
      <c r="G15" s="146">
        <f t="shared" si="0"/>
        <v>10792.270000000006</v>
      </c>
      <c r="I15" s="146">
        <v>12383.54</v>
      </c>
      <c r="J15" s="151">
        <v>21644</v>
      </c>
      <c r="K15" s="146">
        <v>9260</v>
      </c>
    </row>
    <row r="16" spans="1:11" ht="12.75">
      <c r="A16" s="145"/>
      <c r="B16" s="145" t="s">
        <v>21</v>
      </c>
      <c r="C16" s="146">
        <v>47764</v>
      </c>
      <c r="E16" s="331">
        <f>196205-150000</f>
        <v>46205</v>
      </c>
      <c r="F16" s="147"/>
      <c r="G16" s="146">
        <f t="shared" si="0"/>
        <v>1559</v>
      </c>
      <c r="I16" s="146">
        <v>28216.69</v>
      </c>
      <c r="J16" s="151">
        <v>28050</v>
      </c>
      <c r="K16" s="146">
        <v>-167</v>
      </c>
    </row>
    <row r="17" spans="1:11" ht="12.75" hidden="1">
      <c r="A17" s="145"/>
      <c r="B17" s="145" t="s">
        <v>188</v>
      </c>
      <c r="C17" s="146">
        <v>0</v>
      </c>
      <c r="E17" s="151">
        <v>0</v>
      </c>
      <c r="F17" s="147"/>
      <c r="G17" s="146">
        <f t="shared" si="0"/>
        <v>0</v>
      </c>
      <c r="I17" s="146">
        <v>0</v>
      </c>
      <c r="J17" s="151">
        <v>0</v>
      </c>
      <c r="K17" s="146">
        <v>0</v>
      </c>
    </row>
    <row r="18" spans="1:11" ht="12.75">
      <c r="A18" s="145"/>
      <c r="B18" s="1" t="s">
        <v>42</v>
      </c>
      <c r="C18" s="153">
        <f>SUM(C12:C17)</f>
        <v>317340.105</v>
      </c>
      <c r="D18" s="153"/>
      <c r="E18" s="123">
        <f>SUM(E12:E17)</f>
        <v>268585.741</v>
      </c>
      <c r="F18" s="154"/>
      <c r="G18" s="153">
        <f>SUM(G12:G17)</f>
        <v>48754.364000000016</v>
      </c>
      <c r="I18" s="153">
        <v>164309.96</v>
      </c>
      <c r="J18" s="123">
        <v>191083</v>
      </c>
      <c r="K18" s="153">
        <v>26773.04</v>
      </c>
    </row>
    <row r="19" spans="1:12" ht="12.75">
      <c r="A19" s="145"/>
      <c r="C19" s="148"/>
      <c r="D19" s="148"/>
      <c r="E19" s="124"/>
      <c r="F19" s="124"/>
      <c r="G19" s="121"/>
      <c r="H19" s="152"/>
      <c r="I19" s="121"/>
      <c r="J19" s="124"/>
      <c r="K19" s="121"/>
      <c r="L19" s="152"/>
    </row>
    <row r="20" spans="1:11" ht="12.75">
      <c r="A20" s="145"/>
      <c r="B20" s="2" t="s">
        <v>49</v>
      </c>
      <c r="C20" s="146">
        <v>6800</v>
      </c>
      <c r="E20" s="331">
        <v>5000</v>
      </c>
      <c r="F20" s="147"/>
      <c r="G20" s="146">
        <f>ROUND(E20-C20,0)</f>
        <v>-1800</v>
      </c>
      <c r="I20" s="146">
        <v>1931.05</v>
      </c>
      <c r="J20" s="151">
        <v>2250</v>
      </c>
      <c r="K20" s="146">
        <v>319</v>
      </c>
    </row>
    <row r="21" spans="1:11" ht="12.75">
      <c r="A21" s="145"/>
      <c r="B21" s="2" t="s">
        <v>50</v>
      </c>
      <c r="C21" s="146">
        <v>1600</v>
      </c>
      <c r="E21" s="331">
        <v>1000</v>
      </c>
      <c r="F21" s="147"/>
      <c r="G21" s="146">
        <f>ROUND(E21-C21,0)</f>
        <v>-600</v>
      </c>
      <c r="I21" s="146">
        <v>1665.18</v>
      </c>
      <c r="J21" s="151">
        <v>2250</v>
      </c>
      <c r="K21" s="146">
        <v>585</v>
      </c>
    </row>
    <row r="22" spans="1:11" ht="12.75">
      <c r="A22" s="145"/>
      <c r="B22" s="1" t="s">
        <v>14</v>
      </c>
      <c r="C22" s="153">
        <f>SUM(C20:C21)</f>
        <v>8400</v>
      </c>
      <c r="D22" s="153"/>
      <c r="E22" s="123">
        <f>SUM(E20:E21)</f>
        <v>6000</v>
      </c>
      <c r="F22" s="154"/>
      <c r="G22" s="153">
        <f>E22-C22</f>
        <v>-2400</v>
      </c>
      <c r="I22" s="153">
        <f>SUM(I20:I21)</f>
        <v>3596.23</v>
      </c>
      <c r="J22" s="123">
        <f>SUM(J20:J21)</f>
        <v>4500</v>
      </c>
      <c r="K22" s="153">
        <f>SUM(K20:K21)</f>
        <v>904</v>
      </c>
    </row>
    <row r="23" spans="1:12" ht="12.75">
      <c r="A23" s="145"/>
      <c r="E23" s="147"/>
      <c r="F23" s="147"/>
      <c r="G23" s="148"/>
      <c r="H23" s="149"/>
      <c r="I23" s="148"/>
      <c r="J23" s="147"/>
      <c r="K23" s="148"/>
      <c r="L23" s="149"/>
    </row>
    <row r="24" spans="1:12" ht="12.75">
      <c r="A24" s="145"/>
      <c r="B24" s="2" t="s">
        <v>518</v>
      </c>
      <c r="C24" s="146">
        <v>300</v>
      </c>
      <c r="E24" s="151">
        <v>500</v>
      </c>
      <c r="F24" s="147"/>
      <c r="G24" s="146">
        <f>ROUND(E24-C24,0)</f>
        <v>200</v>
      </c>
      <c r="H24" s="149"/>
      <c r="I24" s="148"/>
      <c r="J24" s="147"/>
      <c r="K24" s="148"/>
      <c r="L24" s="149"/>
    </row>
    <row r="25" spans="1:12" ht="12.75">
      <c r="A25" s="145"/>
      <c r="B25" s="2" t="s">
        <v>227</v>
      </c>
      <c r="C25" s="146">
        <v>2160</v>
      </c>
      <c r="E25" s="151">
        <v>500</v>
      </c>
      <c r="F25" s="147"/>
      <c r="G25" s="146">
        <f>ROUND(E25-C25,0)</f>
        <v>-1660</v>
      </c>
      <c r="H25" s="149"/>
      <c r="I25" s="148"/>
      <c r="J25" s="147"/>
      <c r="K25" s="148"/>
      <c r="L25" s="149"/>
    </row>
    <row r="26" spans="1:12" ht="12.75">
      <c r="A26" s="145"/>
      <c r="C26" s="153">
        <f>SUM(C24:C25)</f>
        <v>2460</v>
      </c>
      <c r="D26" s="153"/>
      <c r="E26" s="123">
        <f>SUM(E24:E25)</f>
        <v>1000</v>
      </c>
      <c r="F26" s="154"/>
      <c r="G26" s="166">
        <f>SUM(G24:G25)</f>
        <v>-1460</v>
      </c>
      <c r="H26" s="149"/>
      <c r="I26" s="148"/>
      <c r="J26" s="147"/>
      <c r="K26" s="148"/>
      <c r="L26" s="149"/>
    </row>
    <row r="27" spans="1:12" ht="12.75">
      <c r="A27" s="145"/>
      <c r="E27" s="147"/>
      <c r="F27" s="147"/>
      <c r="G27" s="148"/>
      <c r="H27" s="149"/>
      <c r="I27" s="148"/>
      <c r="J27" s="147"/>
      <c r="K27" s="148"/>
      <c r="L27" s="149"/>
    </row>
    <row r="28" spans="1:11" ht="12.75">
      <c r="A28" s="145"/>
      <c r="B28" s="2" t="s">
        <v>217</v>
      </c>
      <c r="C28" s="146">
        <v>17500</v>
      </c>
      <c r="E28" s="331">
        <v>1000</v>
      </c>
      <c r="F28" s="147"/>
      <c r="G28" s="146">
        <f>C28-E28</f>
        <v>16500</v>
      </c>
      <c r="I28" s="146">
        <v>6490.61</v>
      </c>
      <c r="J28" s="151">
        <v>8438</v>
      </c>
      <c r="K28" s="146">
        <v>1947</v>
      </c>
    </row>
    <row r="29" spans="1:11" ht="25.5">
      <c r="A29" s="145"/>
      <c r="B29" s="431" t="s">
        <v>467</v>
      </c>
      <c r="C29" s="146">
        <v>20000</v>
      </c>
      <c r="E29" s="331">
        <v>25000</v>
      </c>
      <c r="F29" s="147"/>
      <c r="G29" s="146">
        <f aca="true" t="shared" si="1" ref="G29:G39">C29-E29</f>
        <v>-5000</v>
      </c>
      <c r="I29" s="146">
        <v>22738.78</v>
      </c>
      <c r="J29" s="151">
        <v>3450</v>
      </c>
      <c r="K29" s="146">
        <v>-19289</v>
      </c>
    </row>
    <row r="30" spans="1:11" ht="12.75">
      <c r="A30" s="145"/>
      <c r="B30" s="431" t="s">
        <v>468</v>
      </c>
      <c r="C30" s="146">
        <v>21900</v>
      </c>
      <c r="E30" s="331">
        <v>39000</v>
      </c>
      <c r="F30" s="147"/>
      <c r="G30" s="146">
        <f t="shared" si="1"/>
        <v>-17100</v>
      </c>
      <c r="I30" s="146">
        <v>1389.33</v>
      </c>
      <c r="J30" s="151">
        <v>7500</v>
      </c>
      <c r="K30" s="146">
        <v>6111</v>
      </c>
    </row>
    <row r="31" spans="1:11" ht="25.5">
      <c r="A31" s="145"/>
      <c r="B31" s="431" t="s">
        <v>469</v>
      </c>
      <c r="C31" s="146">
        <v>64000</v>
      </c>
      <c r="E31" s="331">
        <v>41000</v>
      </c>
      <c r="F31" s="147"/>
      <c r="G31" s="146">
        <f t="shared" si="1"/>
        <v>23000</v>
      </c>
      <c r="I31" s="146">
        <v>45397.1</v>
      </c>
      <c r="J31" s="151">
        <v>44745</v>
      </c>
      <c r="K31" s="146">
        <v>-652</v>
      </c>
    </row>
    <row r="32" spans="1:11" ht="25.5">
      <c r="A32" s="145"/>
      <c r="B32" s="431" t="s">
        <v>520</v>
      </c>
      <c r="C32" s="146">
        <v>136500</v>
      </c>
      <c r="E32" s="331">
        <v>134000</v>
      </c>
      <c r="F32" s="147"/>
      <c r="G32" s="146">
        <f t="shared" si="1"/>
        <v>2500</v>
      </c>
      <c r="I32" s="146">
        <v>59856.3</v>
      </c>
      <c r="J32" s="151">
        <v>53250</v>
      </c>
      <c r="K32" s="146">
        <v>-6606</v>
      </c>
    </row>
    <row r="33" spans="1:11" ht="12.75">
      <c r="A33" s="145"/>
      <c r="B33" s="2" t="s">
        <v>521</v>
      </c>
      <c r="C33" s="146">
        <v>235500</v>
      </c>
      <c r="E33" s="331">
        <f>130000+11000+15000</f>
        <v>156000</v>
      </c>
      <c r="F33" s="147"/>
      <c r="G33" s="146">
        <f t="shared" si="1"/>
        <v>79500</v>
      </c>
      <c r="I33" s="146">
        <v>86689.8</v>
      </c>
      <c r="J33" s="151">
        <v>73304</v>
      </c>
      <c r="K33" s="146">
        <v>-13386</v>
      </c>
    </row>
    <row r="34" spans="1:11" ht="12.75">
      <c r="A34" s="145"/>
      <c r="B34" s="2" t="s">
        <v>305</v>
      </c>
      <c r="C34" s="146">
        <v>10000</v>
      </c>
      <c r="E34" s="331">
        <v>14000</v>
      </c>
      <c r="F34" s="147"/>
      <c r="G34" s="146">
        <f t="shared" si="1"/>
        <v>-4000</v>
      </c>
      <c r="I34" s="146">
        <v>19006.28</v>
      </c>
      <c r="J34" s="151">
        <v>11250</v>
      </c>
      <c r="K34" s="146">
        <v>-7756</v>
      </c>
    </row>
    <row r="35" spans="1:11" ht="12.75">
      <c r="A35" s="145"/>
      <c r="B35" s="2" t="s">
        <v>306</v>
      </c>
      <c r="C35" s="146">
        <v>0</v>
      </c>
      <c r="E35" s="331">
        <v>5000</v>
      </c>
      <c r="F35" s="147"/>
      <c r="G35" s="146">
        <f t="shared" si="1"/>
        <v>-5000</v>
      </c>
      <c r="I35" s="146">
        <v>6666.18</v>
      </c>
      <c r="J35" s="151">
        <v>7500</v>
      </c>
      <c r="K35" s="146">
        <v>834</v>
      </c>
    </row>
    <row r="36" spans="1:11" ht="12.75">
      <c r="A36" s="145"/>
      <c r="B36" s="2" t="s">
        <v>470</v>
      </c>
      <c r="C36" s="146">
        <v>23000</v>
      </c>
      <c r="E36" s="331">
        <v>10000</v>
      </c>
      <c r="F36" s="147"/>
      <c r="G36" s="146">
        <f t="shared" si="1"/>
        <v>13000</v>
      </c>
      <c r="I36" s="146"/>
      <c r="J36" s="151"/>
      <c r="K36" s="146"/>
    </row>
    <row r="37" spans="1:11" ht="12.75">
      <c r="A37" s="145"/>
      <c r="B37" s="2" t="s">
        <v>522</v>
      </c>
      <c r="C37" s="146">
        <v>1150</v>
      </c>
      <c r="E37" s="331">
        <v>1000</v>
      </c>
      <c r="F37" s="147"/>
      <c r="G37" s="146">
        <f t="shared" si="1"/>
        <v>150</v>
      </c>
      <c r="I37" s="146">
        <v>4634.41</v>
      </c>
      <c r="J37" s="151">
        <v>0</v>
      </c>
      <c r="K37" s="146">
        <v>-4634</v>
      </c>
    </row>
    <row r="38" spans="1:11" ht="12.75">
      <c r="A38" s="145"/>
      <c r="B38" s="2" t="s">
        <v>73</v>
      </c>
      <c r="C38" s="146">
        <v>0</v>
      </c>
      <c r="E38" s="331">
        <v>15000</v>
      </c>
      <c r="F38" s="147"/>
      <c r="G38" s="146">
        <f t="shared" si="1"/>
        <v>-15000</v>
      </c>
      <c r="I38" s="146">
        <v>5242.97</v>
      </c>
      <c r="J38" s="151">
        <v>14250</v>
      </c>
      <c r="K38" s="146">
        <v>9007</v>
      </c>
    </row>
    <row r="39" spans="1:11" ht="12.75">
      <c r="A39" s="145"/>
      <c r="B39" s="2" t="s">
        <v>471</v>
      </c>
      <c r="C39" s="146">
        <v>1500</v>
      </c>
      <c r="E39" s="331">
        <v>1000</v>
      </c>
      <c r="F39" s="147"/>
      <c r="G39" s="146">
        <f t="shared" si="1"/>
        <v>500</v>
      </c>
      <c r="I39" s="146">
        <v>290.87</v>
      </c>
      <c r="J39" s="151">
        <v>0</v>
      </c>
      <c r="K39" s="146">
        <v>-291</v>
      </c>
    </row>
    <row r="40" spans="1:11" ht="12" customHeight="1">
      <c r="A40" s="145"/>
      <c r="B40" s="1" t="s">
        <v>23</v>
      </c>
      <c r="C40" s="166">
        <f>ROUND(SUM(C28:C39),0)</f>
        <v>531050</v>
      </c>
      <c r="D40" s="166"/>
      <c r="E40" s="123">
        <f>SUM(E28:E39)</f>
        <v>442000</v>
      </c>
      <c r="F40" s="154"/>
      <c r="G40" s="153">
        <f>SUM(G28:G39)</f>
        <v>89050</v>
      </c>
      <c r="I40" s="153">
        <f>SUM(I28:I39)</f>
        <v>258402.62999999998</v>
      </c>
      <c r="J40" s="123">
        <f>SUM(J28:J39)</f>
        <v>223687</v>
      </c>
      <c r="K40" s="153">
        <f>SUM(K28:K39)</f>
        <v>-34715</v>
      </c>
    </row>
    <row r="41" spans="1:12" ht="12" customHeight="1">
      <c r="A41" s="145"/>
      <c r="E41" s="147"/>
      <c r="F41" s="147"/>
      <c r="G41" s="148"/>
      <c r="H41" s="149"/>
      <c r="I41" s="148"/>
      <c r="J41" s="147"/>
      <c r="K41" s="148"/>
      <c r="L41" s="149"/>
    </row>
    <row r="42" spans="1:12" ht="12" customHeight="1">
      <c r="A42" s="145"/>
      <c r="B42" s="2" t="s">
        <v>269</v>
      </c>
      <c r="C42" s="146">
        <v>66000</v>
      </c>
      <c r="E42" s="151">
        <v>50000</v>
      </c>
      <c r="F42" s="147"/>
      <c r="G42" s="146">
        <f>C42-E42</f>
        <v>16000</v>
      </c>
      <c r="H42" s="149"/>
      <c r="I42" s="148">
        <v>0</v>
      </c>
      <c r="J42" s="151">
        <v>0</v>
      </c>
      <c r="K42" s="148">
        <v>0</v>
      </c>
      <c r="L42" s="149"/>
    </row>
    <row r="43" spans="1:12" ht="12" customHeight="1">
      <c r="A43" s="145"/>
      <c r="B43" s="1" t="s">
        <v>479</v>
      </c>
      <c r="C43" s="153">
        <f>SUM(C42)</f>
        <v>66000</v>
      </c>
      <c r="D43" s="153"/>
      <c r="E43" s="123">
        <f>SUM(E42)</f>
        <v>50000</v>
      </c>
      <c r="F43" s="154"/>
      <c r="G43" s="166">
        <f>G42</f>
        <v>16000</v>
      </c>
      <c r="H43" s="149"/>
      <c r="I43" s="166">
        <f>SUM(I42)</f>
        <v>0</v>
      </c>
      <c r="J43" s="169">
        <f>SUM(J42)</f>
        <v>0</v>
      </c>
      <c r="K43" s="166">
        <f>SUM(K42)</f>
        <v>0</v>
      </c>
      <c r="L43" s="149"/>
    </row>
    <row r="44" spans="1:12" ht="12" customHeight="1">
      <c r="A44" s="145"/>
      <c r="C44" s="155"/>
      <c r="D44" s="155"/>
      <c r="E44" s="124"/>
      <c r="F44" s="124"/>
      <c r="G44" s="121"/>
      <c r="H44" s="149"/>
      <c r="I44" s="121"/>
      <c r="J44" s="121"/>
      <c r="K44" s="121"/>
      <c r="L44" s="149"/>
    </row>
    <row r="45" spans="1:11" ht="12.75">
      <c r="A45" s="145"/>
      <c r="B45" s="2" t="s">
        <v>417</v>
      </c>
      <c r="C45" s="146">
        <v>2700</v>
      </c>
      <c r="E45" s="151">
        <v>4667</v>
      </c>
      <c r="F45" s="147"/>
      <c r="G45" s="146">
        <f>C45-E45</f>
        <v>-1967</v>
      </c>
      <c r="I45" s="146"/>
      <c r="J45" s="151"/>
      <c r="K45" s="146"/>
    </row>
    <row r="46" spans="1:11" ht="12.75">
      <c r="A46" s="152"/>
      <c r="B46" s="149" t="s">
        <v>82</v>
      </c>
      <c r="C46" s="146">
        <v>10575</v>
      </c>
      <c r="E46" s="151">
        <v>7500</v>
      </c>
      <c r="F46" s="147"/>
      <c r="G46" s="146">
        <f>C46-E46</f>
        <v>3075</v>
      </c>
      <c r="I46" s="146">
        <v>9010.13</v>
      </c>
      <c r="J46" s="151">
        <v>3750</v>
      </c>
      <c r="K46" s="146">
        <v>-5260</v>
      </c>
    </row>
    <row r="47" spans="1:11" ht="12.75">
      <c r="A47" s="145"/>
      <c r="B47" s="2" t="s">
        <v>219</v>
      </c>
      <c r="C47" s="146">
        <v>5000</v>
      </c>
      <c r="E47" s="151">
        <v>5000</v>
      </c>
      <c r="F47" s="147"/>
      <c r="G47" s="146">
        <f>C47-E47</f>
        <v>0</v>
      </c>
      <c r="I47" s="146">
        <v>0</v>
      </c>
      <c r="J47" s="151">
        <v>9375</v>
      </c>
      <c r="K47" s="146">
        <v>9375</v>
      </c>
    </row>
    <row r="48" spans="1:11" ht="12.75">
      <c r="A48" s="145"/>
      <c r="B48" s="2" t="s">
        <v>453</v>
      </c>
      <c r="C48" s="146">
        <v>600</v>
      </c>
      <c r="E48" s="151">
        <v>600</v>
      </c>
      <c r="F48" s="147"/>
      <c r="G48" s="146">
        <f>C48-E48</f>
        <v>0</v>
      </c>
      <c r="I48" s="146"/>
      <c r="J48" s="151"/>
      <c r="K48" s="146"/>
    </row>
    <row r="49" spans="1:11" ht="12.75">
      <c r="A49" s="145"/>
      <c r="B49" s="1" t="s">
        <v>16</v>
      </c>
      <c r="C49" s="153">
        <f>SUM(C45:C48)</f>
        <v>18875</v>
      </c>
      <c r="D49" s="153"/>
      <c r="E49" s="123">
        <f>SUM(E45:E48)</f>
        <v>17767</v>
      </c>
      <c r="F49" s="154"/>
      <c r="G49" s="153">
        <f>SUM(G45:G48)</f>
        <v>1108</v>
      </c>
      <c r="I49" s="153">
        <v>10421.93</v>
      </c>
      <c r="J49" s="123">
        <v>14138</v>
      </c>
      <c r="K49" s="153">
        <v>3716.07</v>
      </c>
    </row>
    <row r="50" spans="1:12" ht="12.75">
      <c r="A50" s="145"/>
      <c r="C50" s="156"/>
      <c r="D50" s="156"/>
      <c r="E50" s="157"/>
      <c r="F50" s="157"/>
      <c r="G50" s="158"/>
      <c r="H50" s="149"/>
      <c r="I50" s="158"/>
      <c r="J50" s="157"/>
      <c r="K50" s="158"/>
      <c r="L50" s="149"/>
    </row>
    <row r="51" spans="2:11" ht="12.75">
      <c r="B51" s="1" t="s">
        <v>88</v>
      </c>
      <c r="C51" s="156">
        <f>C18+C22+C40+C49+C43+C26</f>
        <v>944125.105</v>
      </c>
      <c r="D51" s="156"/>
      <c r="E51" s="159">
        <f>E18+E22+E26+E40+E43+E49</f>
        <v>785352.7409999999</v>
      </c>
      <c r="F51" s="157"/>
      <c r="G51" s="153">
        <f>C51-E51</f>
        <v>158772.36400000006</v>
      </c>
      <c r="I51" s="156">
        <v>718639.28</v>
      </c>
      <c r="J51" s="159">
        <v>861729</v>
      </c>
      <c r="K51" s="153">
        <v>143089.72</v>
      </c>
    </row>
    <row r="53" spans="3:13" ht="12.75">
      <c r="C53" s="146">
        <v>-384225.8825999999</v>
      </c>
      <c r="E53" s="127">
        <v>-239642.66666666663</v>
      </c>
      <c r="M53" s="2" t="s">
        <v>519</v>
      </c>
    </row>
  </sheetData>
  <mergeCells count="1">
    <mergeCell ref="I8:K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  <headerFooter alignWithMargins="0">
    <oddHeader>&amp;C&amp;F</oddHeader>
    <oddFooter>&amp;CPage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57"/>
  </sheetPr>
  <dimension ref="A1:G50"/>
  <sheetViews>
    <sheetView zoomScale="90" zoomScaleNormal="90" workbookViewId="0" topLeftCell="A1">
      <selection activeCell="K32" sqref="K32"/>
    </sheetView>
  </sheetViews>
  <sheetFormatPr defaultColWidth="9.140625" defaultRowHeight="12.75"/>
  <cols>
    <col min="1" max="1" width="17.8515625" style="2" customWidth="1"/>
    <col min="2" max="2" width="33.421875" style="2" customWidth="1"/>
    <col min="3" max="3" width="10.57421875" style="146" customWidth="1"/>
    <col min="4" max="4" width="4.28125" style="146" customWidth="1"/>
    <col min="5" max="5" width="12.28125" style="127" bestFit="1" customWidth="1"/>
    <col min="6" max="6" width="4.42187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91</v>
      </c>
    </row>
    <row r="5" spans="1:7" s="1" customFormat="1" ht="12.75">
      <c r="A5" s="129" t="s">
        <v>36</v>
      </c>
      <c r="B5" s="128" t="s">
        <v>6</v>
      </c>
      <c r="G5" s="127"/>
    </row>
    <row r="6" spans="1:7" s="1" customFormat="1" ht="12.75">
      <c r="A6" s="128" t="s">
        <v>37</v>
      </c>
      <c r="B6" s="128" t="s">
        <v>233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7" s="1" customFormat="1" ht="12.75">
      <c r="C8" s="133" t="s">
        <v>38</v>
      </c>
      <c r="D8" s="134"/>
      <c r="E8" s="133" t="s">
        <v>476</v>
      </c>
      <c r="F8" s="134"/>
      <c r="G8" s="134"/>
    </row>
    <row r="9" spans="2:7" s="136" customFormat="1" ht="12.75">
      <c r="B9" s="137"/>
      <c r="C9" s="139" t="s">
        <v>494</v>
      </c>
      <c r="D9" s="139"/>
      <c r="E9" s="160" t="s">
        <v>279</v>
      </c>
      <c r="F9" s="160"/>
      <c r="G9" s="160" t="s">
        <v>39</v>
      </c>
    </row>
    <row r="10" spans="3:7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7" ht="12.75">
      <c r="A12" s="145"/>
      <c r="B12" s="2" t="s">
        <v>17</v>
      </c>
      <c r="C12" s="146">
        <v>277284</v>
      </c>
      <c r="E12" s="331">
        <v>251927.16666666666</v>
      </c>
      <c r="F12" s="147"/>
      <c r="G12" s="146">
        <f aca="true" t="shared" si="0" ref="G12:G17">C12-E12</f>
        <v>25356.833333333343</v>
      </c>
    </row>
    <row r="13" spans="1:7" ht="12.75">
      <c r="A13" s="145"/>
      <c r="B13" s="2" t="s">
        <v>20</v>
      </c>
      <c r="C13" s="146">
        <f>0</f>
        <v>0</v>
      </c>
      <c r="E13" s="331">
        <v>2055</v>
      </c>
      <c r="F13" s="147"/>
      <c r="G13" s="146">
        <f t="shared" si="0"/>
        <v>-2055</v>
      </c>
    </row>
    <row r="14" spans="1:7" ht="12.75">
      <c r="A14" s="145"/>
      <c r="B14" s="2" t="s">
        <v>18</v>
      </c>
      <c r="C14" s="146">
        <v>35492.352</v>
      </c>
      <c r="E14" s="331">
        <f>E12*12.8%</f>
        <v>32246.677333333333</v>
      </c>
      <c r="F14" s="147"/>
      <c r="G14" s="146">
        <f t="shared" si="0"/>
        <v>3245.674666666666</v>
      </c>
    </row>
    <row r="15" spans="1:7" ht="12.75">
      <c r="A15" s="145"/>
      <c r="B15" s="2" t="s">
        <v>19</v>
      </c>
      <c r="C15" s="146">
        <v>32129.94</v>
      </c>
      <c r="E15" s="331">
        <v>27883.68</v>
      </c>
      <c r="F15" s="147"/>
      <c r="G15" s="146">
        <f t="shared" si="0"/>
        <v>4246.260000000009</v>
      </c>
    </row>
    <row r="16" spans="1:7" ht="12.75">
      <c r="A16" s="145"/>
      <c r="B16" s="145" t="s">
        <v>46</v>
      </c>
      <c r="C16" s="146">
        <v>20651.716029023744</v>
      </c>
      <c r="E16" s="331">
        <v>36536</v>
      </c>
      <c r="F16" s="147"/>
      <c r="G16" s="146">
        <f t="shared" si="0"/>
        <v>-15884.283970976256</v>
      </c>
    </row>
    <row r="17" spans="1:7" ht="12.75">
      <c r="A17" s="145"/>
      <c r="B17" s="1" t="s">
        <v>42</v>
      </c>
      <c r="C17" s="153">
        <f>SUM(C12:C16)</f>
        <v>365558.00802902377</v>
      </c>
      <c r="D17" s="153"/>
      <c r="E17" s="123">
        <f>SUM(E12:E16)</f>
        <v>350648.524</v>
      </c>
      <c r="F17" s="154"/>
      <c r="G17" s="153">
        <f t="shared" si="0"/>
        <v>14909.484029023792</v>
      </c>
    </row>
    <row r="18" spans="1:7" ht="12.75">
      <c r="A18" s="145"/>
      <c r="C18" s="148"/>
      <c r="D18" s="148"/>
      <c r="E18" s="124"/>
      <c r="F18" s="124"/>
      <c r="G18" s="121"/>
    </row>
    <row r="19" spans="1:7" ht="12.75">
      <c r="A19" s="145"/>
      <c r="B19" s="2" t="s">
        <v>49</v>
      </c>
      <c r="C19" s="146">
        <v>1030</v>
      </c>
      <c r="E19" s="331">
        <v>1250</v>
      </c>
      <c r="F19" s="147"/>
      <c r="G19" s="146">
        <f>C19-E19</f>
        <v>-220</v>
      </c>
    </row>
    <row r="20" spans="1:7" ht="12.75">
      <c r="A20" s="145"/>
      <c r="B20" s="2" t="s">
        <v>50</v>
      </c>
      <c r="C20" s="146">
        <v>870</v>
      </c>
      <c r="E20" s="331">
        <v>525</v>
      </c>
      <c r="F20" s="147"/>
      <c r="G20" s="146">
        <f>C20-E20</f>
        <v>345</v>
      </c>
    </row>
    <row r="21" spans="1:7" ht="12.75">
      <c r="A21" s="145"/>
      <c r="B21" s="1" t="s">
        <v>14</v>
      </c>
      <c r="C21" s="153">
        <f>SUM(C19:C20)</f>
        <v>1900</v>
      </c>
      <c r="D21" s="153"/>
      <c r="E21" s="123">
        <f>SUM(E19:E20)</f>
        <v>1775</v>
      </c>
      <c r="F21" s="154"/>
      <c r="G21" s="153">
        <f>SUM(G19:G20)</f>
        <v>125</v>
      </c>
    </row>
    <row r="22" spans="1:7" ht="12.75">
      <c r="A22" s="145"/>
      <c r="E22" s="147"/>
      <c r="F22" s="147"/>
      <c r="G22" s="148"/>
    </row>
    <row r="23" spans="1:7" ht="12.75">
      <c r="A23" s="145"/>
      <c r="B23" s="2" t="s">
        <v>140</v>
      </c>
      <c r="C23" s="146">
        <v>5500</v>
      </c>
      <c r="E23" s="151">
        <v>5000</v>
      </c>
      <c r="F23" s="147"/>
      <c r="G23" s="146">
        <f>C23-E23</f>
        <v>500</v>
      </c>
    </row>
    <row r="24" spans="1:7" ht="12.75">
      <c r="A24" s="152"/>
      <c r="B24" s="2" t="s">
        <v>224</v>
      </c>
      <c r="C24" s="146">
        <v>2560</v>
      </c>
      <c r="E24" s="151">
        <v>696</v>
      </c>
      <c r="F24" s="147"/>
      <c r="G24" s="146">
        <f>C24-E24</f>
        <v>1864</v>
      </c>
    </row>
    <row r="25" spans="1:7" ht="12.75">
      <c r="A25" s="152"/>
      <c r="B25" s="2" t="s">
        <v>227</v>
      </c>
      <c r="C25" s="146">
        <v>360</v>
      </c>
      <c r="E25" s="151">
        <v>418</v>
      </c>
      <c r="F25" s="147"/>
      <c r="G25" s="146">
        <f>C25-E25</f>
        <v>-58</v>
      </c>
    </row>
    <row r="26" spans="1:7" ht="12.75">
      <c r="A26" s="152"/>
      <c r="B26" s="2" t="s">
        <v>68</v>
      </c>
      <c r="C26" s="146">
        <v>2295</v>
      </c>
      <c r="E26" s="151">
        <v>0</v>
      </c>
      <c r="F26" s="147"/>
      <c r="G26" s="146">
        <f>C26-E26</f>
        <v>2295</v>
      </c>
    </row>
    <row r="27" spans="1:7" ht="12.75">
      <c r="A27" s="145"/>
      <c r="B27" s="1" t="s">
        <v>29</v>
      </c>
      <c r="C27" s="153">
        <f>SUM(C23:C26)</f>
        <v>10715</v>
      </c>
      <c r="D27" s="153"/>
      <c r="E27" s="123">
        <f>SUM(E23:E26)</f>
        <v>6114</v>
      </c>
      <c r="F27" s="153"/>
      <c r="G27" s="153">
        <f>SUM(G23:G26)</f>
        <v>4601</v>
      </c>
    </row>
    <row r="28" spans="1:7" ht="12.75">
      <c r="A28" s="145"/>
      <c r="E28" s="147"/>
      <c r="F28" s="147"/>
      <c r="G28" s="148"/>
    </row>
    <row r="29" spans="1:7" ht="12.75">
      <c r="A29" s="145"/>
      <c r="B29" s="2" t="s">
        <v>71</v>
      </c>
      <c r="C29" s="146">
        <v>12500</v>
      </c>
      <c r="E29" s="151">
        <v>9500</v>
      </c>
      <c r="F29" s="147"/>
      <c r="G29" s="146">
        <f>C29-E29</f>
        <v>3000</v>
      </c>
    </row>
    <row r="30" spans="1:7" ht="12" customHeight="1">
      <c r="A30" s="145"/>
      <c r="B30" s="1" t="s">
        <v>23</v>
      </c>
      <c r="C30" s="166">
        <f>ROUND(SUM(C29:C29),0)</f>
        <v>12500</v>
      </c>
      <c r="D30" s="166"/>
      <c r="E30" s="123">
        <f>SUM(E29:E29)</f>
        <v>9500</v>
      </c>
      <c r="F30" s="154"/>
      <c r="G30" s="153">
        <f>SUM(G29:G29)</f>
        <v>3000</v>
      </c>
    </row>
    <row r="31" spans="1:7" ht="12.75" customHeight="1">
      <c r="A31" s="145"/>
      <c r="B31" s="1"/>
      <c r="C31" s="121"/>
      <c r="D31" s="121"/>
      <c r="E31" s="124"/>
      <c r="F31" s="124"/>
      <c r="G31" s="155"/>
    </row>
    <row r="32" spans="1:7" ht="12" customHeight="1">
      <c r="A32" s="145"/>
      <c r="B32" s="2" t="s">
        <v>465</v>
      </c>
      <c r="C32" s="121">
        <v>3000</v>
      </c>
      <c r="D32" s="121"/>
      <c r="E32" s="150">
        <v>3448.63</v>
      </c>
      <c r="F32" s="124"/>
      <c r="G32" s="155">
        <f>C32-E32</f>
        <v>-448.6300000000001</v>
      </c>
    </row>
    <row r="33" spans="1:7" ht="12" customHeight="1">
      <c r="A33" s="145"/>
      <c r="B33" s="1" t="s">
        <v>479</v>
      </c>
      <c r="C33" s="166">
        <f>SUM(C32)</f>
        <v>3000</v>
      </c>
      <c r="D33" s="166"/>
      <c r="E33" s="123">
        <f>SUM(E32)</f>
        <v>3448.63</v>
      </c>
      <c r="F33" s="154"/>
      <c r="G33" s="153">
        <f>SUM(G32)</f>
        <v>-448.6300000000001</v>
      </c>
    </row>
    <row r="34" spans="1:7" ht="12" customHeight="1">
      <c r="A34" s="145"/>
      <c r="B34" s="1"/>
      <c r="C34" s="121"/>
      <c r="D34" s="121"/>
      <c r="E34" s="124"/>
      <c r="F34" s="124"/>
      <c r="G34" s="155"/>
    </row>
    <row r="35" spans="1:7" ht="12" customHeight="1">
      <c r="A35" s="145"/>
      <c r="B35" s="2" t="s">
        <v>417</v>
      </c>
      <c r="C35" s="121">
        <v>300</v>
      </c>
      <c r="D35" s="121"/>
      <c r="E35" s="150">
        <v>390</v>
      </c>
      <c r="F35" s="124"/>
      <c r="G35" s="146">
        <f aca="true" t="shared" si="1" ref="G35:G45">C35-E35</f>
        <v>-90</v>
      </c>
    </row>
    <row r="36" spans="1:7" ht="12.75">
      <c r="A36" s="145"/>
      <c r="B36" s="2" t="s">
        <v>262</v>
      </c>
      <c r="C36" s="146">
        <v>31584</v>
      </c>
      <c r="E36" s="151">
        <v>28620</v>
      </c>
      <c r="F36" s="147"/>
      <c r="G36" s="146">
        <f t="shared" si="1"/>
        <v>2964</v>
      </c>
    </row>
    <row r="37" spans="1:7" ht="12.75">
      <c r="A37" s="145"/>
      <c r="B37" s="2" t="s">
        <v>562</v>
      </c>
      <c r="C37" s="146">
        <v>62925</v>
      </c>
      <c r="E37" s="151">
        <v>53760</v>
      </c>
      <c r="F37" s="147"/>
      <c r="G37" s="146">
        <f t="shared" si="1"/>
        <v>9165</v>
      </c>
    </row>
    <row r="38" spans="1:7" ht="12.75">
      <c r="A38" s="145"/>
      <c r="B38" s="2" t="s">
        <v>78</v>
      </c>
      <c r="C38" s="146">
        <v>70000</v>
      </c>
      <c r="E38" s="151">
        <v>67202</v>
      </c>
      <c r="F38" s="147"/>
      <c r="G38" s="146">
        <f t="shared" si="1"/>
        <v>2798</v>
      </c>
    </row>
    <row r="39" spans="1:7" ht="12.75">
      <c r="A39" s="145"/>
      <c r="B39" s="2" t="s">
        <v>84</v>
      </c>
      <c r="C39" s="146">
        <v>34500</v>
      </c>
      <c r="E39" s="151">
        <v>46923</v>
      </c>
      <c r="F39" s="147"/>
      <c r="G39" s="146">
        <f t="shared" si="1"/>
        <v>-12423</v>
      </c>
    </row>
    <row r="40" spans="1:7" ht="12.75">
      <c r="A40" s="145"/>
      <c r="B40" s="2" t="s">
        <v>226</v>
      </c>
      <c r="C40" s="146">
        <f>0</f>
        <v>0</v>
      </c>
      <c r="E40" s="151">
        <v>7500</v>
      </c>
      <c r="F40" s="147"/>
      <c r="G40" s="146">
        <f t="shared" si="1"/>
        <v>-7500</v>
      </c>
    </row>
    <row r="41" spans="1:7" ht="12.75">
      <c r="A41" s="145"/>
      <c r="B41" s="2" t="s">
        <v>86</v>
      </c>
      <c r="C41" s="146">
        <v>27400</v>
      </c>
      <c r="E41" s="151">
        <v>25200</v>
      </c>
      <c r="F41" s="147"/>
      <c r="G41" s="146">
        <f t="shared" si="1"/>
        <v>2200</v>
      </c>
    </row>
    <row r="42" spans="1:7" ht="12.75">
      <c r="A42" s="145"/>
      <c r="B42" s="2" t="s">
        <v>83</v>
      </c>
      <c r="C42" s="146">
        <v>1560</v>
      </c>
      <c r="E42" s="151">
        <v>900</v>
      </c>
      <c r="F42" s="147"/>
      <c r="G42" s="146">
        <f t="shared" si="1"/>
        <v>660</v>
      </c>
    </row>
    <row r="43" spans="1:7" ht="12.75">
      <c r="A43" s="145"/>
      <c r="B43" s="145" t="s">
        <v>165</v>
      </c>
      <c r="C43" s="146">
        <v>5000</v>
      </c>
      <c r="E43" s="151">
        <v>12223</v>
      </c>
      <c r="F43" s="147"/>
      <c r="G43" s="146">
        <f t="shared" si="1"/>
        <v>-7223</v>
      </c>
    </row>
    <row r="44" spans="1:7" ht="12.75">
      <c r="A44" s="145"/>
      <c r="B44" s="145" t="s">
        <v>82</v>
      </c>
      <c r="C44" s="146">
        <v>8500</v>
      </c>
      <c r="E44" s="151">
        <v>7500</v>
      </c>
      <c r="F44" s="147"/>
      <c r="G44" s="146">
        <f t="shared" si="1"/>
        <v>1000</v>
      </c>
    </row>
    <row r="45" spans="1:7" ht="12.75">
      <c r="A45" s="145"/>
      <c r="B45" s="145" t="s">
        <v>454</v>
      </c>
      <c r="C45" s="146">
        <v>0</v>
      </c>
      <c r="E45" s="151">
        <v>512</v>
      </c>
      <c r="F45" s="147"/>
      <c r="G45" s="146">
        <f t="shared" si="1"/>
        <v>-512</v>
      </c>
    </row>
    <row r="46" spans="1:7" ht="12.75">
      <c r="A46" s="145"/>
      <c r="B46" s="1" t="s">
        <v>16</v>
      </c>
      <c r="C46" s="153">
        <f>SUM(C35:C45)</f>
        <v>241769</v>
      </c>
      <c r="D46" s="153"/>
      <c r="E46" s="123">
        <f>SUM(E35:E45)</f>
        <v>250730</v>
      </c>
      <c r="F46" s="166"/>
      <c r="G46" s="153">
        <f>SUM(G35:G45)</f>
        <v>-8961</v>
      </c>
    </row>
    <row r="47" spans="1:7" ht="12.75">
      <c r="A47" s="145"/>
      <c r="C47" s="156"/>
      <c r="D47" s="156"/>
      <c r="E47" s="157"/>
      <c r="F47" s="157"/>
      <c r="G47" s="158"/>
    </row>
    <row r="48" spans="2:7" ht="12.75">
      <c r="B48" s="1" t="s">
        <v>88</v>
      </c>
      <c r="C48" s="156">
        <f>C17+C21+C30+C46+C27+C33</f>
        <v>635442.0080290238</v>
      </c>
      <c r="D48" s="156"/>
      <c r="E48" s="159">
        <f>E17+E21+E27+E30+E46+E33</f>
        <v>622216.154</v>
      </c>
      <c r="F48" s="157"/>
      <c r="G48" s="153">
        <f>C48-E48</f>
        <v>13225.854029023787</v>
      </c>
    </row>
    <row r="50" spans="3:5" ht="12.75">
      <c r="C50" s="146">
        <v>0</v>
      </c>
      <c r="E50" s="127">
        <v>0.5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  <headerFooter alignWithMargins="0">
    <oddHeader>&amp;C&amp;F</oddHeader>
    <oddFooter>&amp;CPage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57"/>
  </sheetPr>
  <dimension ref="A1:G22"/>
  <sheetViews>
    <sheetView zoomScale="90" zoomScaleNormal="90" workbookViewId="0" topLeftCell="A1">
      <selection activeCell="C20" sqref="C20"/>
    </sheetView>
  </sheetViews>
  <sheetFormatPr defaultColWidth="9.140625" defaultRowHeight="12.75"/>
  <cols>
    <col min="1" max="1" width="17.8515625" style="2" customWidth="1"/>
    <col min="2" max="2" width="33.421875" style="2" customWidth="1"/>
    <col min="3" max="3" width="10.57421875" style="146" customWidth="1"/>
    <col min="4" max="4" width="4.28125" style="146" customWidth="1"/>
    <col min="5" max="5" width="12.28125" style="127" bestFit="1" customWidth="1"/>
    <col min="6" max="6" width="4.42187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585</v>
      </c>
    </row>
    <row r="5" spans="1:7" s="1" customFormat="1" ht="12.75">
      <c r="A5" s="129" t="s">
        <v>36</v>
      </c>
      <c r="B5" s="128" t="s">
        <v>249</v>
      </c>
      <c r="G5" s="127"/>
    </row>
    <row r="6" spans="1:7" s="1" customFormat="1" ht="12.75">
      <c r="A6" s="128" t="s">
        <v>37</v>
      </c>
      <c r="B6" s="128" t="s">
        <v>233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7" s="1" customFormat="1" ht="12.75">
      <c r="C8" s="133" t="s">
        <v>38</v>
      </c>
      <c r="D8" s="134"/>
      <c r="E8" s="133" t="s">
        <v>476</v>
      </c>
      <c r="F8" s="134"/>
      <c r="G8" s="134"/>
    </row>
    <row r="9" spans="2:7" s="136" customFormat="1" ht="12.75">
      <c r="B9" s="137"/>
      <c r="C9" s="139" t="s">
        <v>494</v>
      </c>
      <c r="D9" s="139"/>
      <c r="E9" s="160" t="s">
        <v>279</v>
      </c>
      <c r="F9" s="160"/>
      <c r="G9" s="160" t="s">
        <v>39</v>
      </c>
    </row>
    <row r="10" spans="3:7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7" ht="12.75">
      <c r="A12" s="145"/>
      <c r="B12" s="145" t="s">
        <v>575</v>
      </c>
      <c r="C12" s="146">
        <v>42200</v>
      </c>
      <c r="E12" s="151">
        <v>52704</v>
      </c>
      <c r="F12" s="147"/>
      <c r="G12" s="146">
        <f>C12-E12</f>
        <v>-10504</v>
      </c>
    </row>
    <row r="13" spans="1:7" ht="12.75">
      <c r="A13" s="145"/>
      <c r="B13" s="1" t="s">
        <v>26</v>
      </c>
      <c r="C13" s="153">
        <f>SUM(C12:C12)</f>
        <v>42200</v>
      </c>
      <c r="D13" s="153"/>
      <c r="E13" s="123">
        <f>SUM(E12:E12)</f>
        <v>52704</v>
      </c>
      <c r="F13" s="154"/>
      <c r="G13" s="153">
        <f>C13-E13</f>
        <v>-10504</v>
      </c>
    </row>
    <row r="14" spans="1:7" ht="12.75">
      <c r="A14" s="145"/>
      <c r="C14" s="148"/>
      <c r="D14" s="148"/>
      <c r="E14" s="124"/>
      <c r="F14" s="124"/>
      <c r="G14" s="121"/>
    </row>
    <row r="15" spans="1:7" ht="12.75">
      <c r="A15" s="145"/>
      <c r="B15" s="2" t="s">
        <v>574</v>
      </c>
      <c r="C15" s="146">
        <v>26378</v>
      </c>
      <c r="E15" s="151">
        <v>28040</v>
      </c>
      <c r="F15" s="147"/>
      <c r="G15" s="146">
        <f>C15-E15</f>
        <v>-1662</v>
      </c>
    </row>
    <row r="16" spans="1:7" ht="12.75">
      <c r="A16" s="145"/>
      <c r="B16" s="1" t="s">
        <v>29</v>
      </c>
      <c r="C16" s="153">
        <f>SUM(C15:C15)</f>
        <v>26378</v>
      </c>
      <c r="D16" s="153"/>
      <c r="E16" s="123">
        <f>SUM(E15:E15)</f>
        <v>28040</v>
      </c>
      <c r="F16" s="154"/>
      <c r="G16" s="153">
        <f>SUM(G15:G15)</f>
        <v>-1662</v>
      </c>
    </row>
    <row r="17" spans="1:7" ht="12.75">
      <c r="A17" s="145"/>
      <c r="E17" s="147"/>
      <c r="F17" s="147"/>
      <c r="G17" s="148"/>
    </row>
    <row r="18" spans="1:7" ht="12.75">
      <c r="A18" s="145"/>
      <c r="B18" s="2" t="s">
        <v>576</v>
      </c>
      <c r="C18" s="148">
        <v>68967.075875</v>
      </c>
      <c r="E18" s="151">
        <v>63572.02</v>
      </c>
      <c r="F18" s="147"/>
      <c r="G18" s="146">
        <f>C18-E18</f>
        <v>5395.055874999998</v>
      </c>
    </row>
    <row r="19" spans="1:7" ht="12.75">
      <c r="A19" s="145"/>
      <c r="B19" s="2" t="s">
        <v>577</v>
      </c>
      <c r="C19" s="146">
        <v>315258.80672499986</v>
      </c>
      <c r="E19" s="151">
        <f>176071-13</f>
        <v>176058</v>
      </c>
      <c r="F19" s="147"/>
      <c r="G19" s="146">
        <f>C19-E19</f>
        <v>139200.80672499986</v>
      </c>
    </row>
    <row r="20" spans="1:7" ht="12" customHeight="1">
      <c r="A20" s="145"/>
      <c r="B20" s="1" t="s">
        <v>23</v>
      </c>
      <c r="C20" s="166">
        <f>ROUND(SUM(C18:C19),0)</f>
        <v>384226</v>
      </c>
      <c r="D20" s="166"/>
      <c r="E20" s="123">
        <f>SUM(E18:E19)</f>
        <v>239630.02</v>
      </c>
      <c r="F20" s="154"/>
      <c r="G20" s="153">
        <f>SUM(G18:G19)</f>
        <v>144595.86259999985</v>
      </c>
    </row>
    <row r="21" spans="1:7" ht="12.75" customHeight="1">
      <c r="A21" s="145"/>
      <c r="B21" s="1"/>
      <c r="C21" s="121"/>
      <c r="D21" s="121"/>
      <c r="E21" s="124"/>
      <c r="F21" s="124"/>
      <c r="G21" s="155"/>
    </row>
    <row r="22" spans="2:7" ht="12.75">
      <c r="B22" s="1" t="s">
        <v>88</v>
      </c>
      <c r="C22" s="156">
        <f>C13+C16+C20</f>
        <v>452804</v>
      </c>
      <c r="D22" s="156"/>
      <c r="E22" s="159">
        <f>E13+E16+E20</f>
        <v>320374.02</v>
      </c>
      <c r="F22" s="157"/>
      <c r="G22" s="153">
        <f>C22-E22</f>
        <v>132429.97999999998</v>
      </c>
    </row>
    <row r="47" ht="12" customHeight="1"/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  <headerFooter alignWithMargins="0">
    <oddHeader>&amp;C&amp;F</oddHeader>
    <oddFooter>&amp;CPage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7"/>
  </sheetPr>
  <dimension ref="A1:I63"/>
  <sheetViews>
    <sheetView zoomScale="90" zoomScaleNormal="90" workbookViewId="0" topLeftCell="A1">
      <selection activeCell="C47" sqref="C47"/>
    </sheetView>
  </sheetViews>
  <sheetFormatPr defaultColWidth="9.140625" defaultRowHeight="12.75"/>
  <cols>
    <col min="1" max="1" width="17.8515625" style="2" customWidth="1"/>
    <col min="2" max="2" width="34.00390625" style="2" bestFit="1" customWidth="1"/>
    <col min="3" max="3" width="10.8515625" style="146" bestFit="1" customWidth="1"/>
    <col min="4" max="4" width="5.421875" style="146" customWidth="1"/>
    <col min="5" max="5" width="12.28125" style="127" bestFit="1" customWidth="1"/>
    <col min="6" max="6" width="3.710937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247</v>
      </c>
    </row>
    <row r="5" spans="1:7" s="1" customFormat="1" ht="12.75">
      <c r="A5" s="129" t="s">
        <v>36</v>
      </c>
      <c r="B5" s="128" t="s">
        <v>7</v>
      </c>
      <c r="G5" s="127"/>
    </row>
    <row r="6" spans="1:7" s="1" customFormat="1" ht="12.75">
      <c r="A6" s="128" t="s">
        <v>37</v>
      </c>
      <c r="B6" s="128" t="s">
        <v>257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7" s="1" customFormat="1" ht="12.75">
      <c r="C8" s="133" t="s">
        <v>38</v>
      </c>
      <c r="D8" s="178"/>
      <c r="E8" s="133" t="s">
        <v>476</v>
      </c>
      <c r="F8" s="179"/>
      <c r="G8" s="134"/>
    </row>
    <row r="9" spans="2:7" s="136" customFormat="1" ht="12.75">
      <c r="B9" s="137"/>
      <c r="C9" s="139" t="s">
        <v>494</v>
      </c>
      <c r="D9" s="180"/>
      <c r="E9" s="160" t="s">
        <v>279</v>
      </c>
      <c r="F9" s="181"/>
      <c r="G9" s="160" t="s">
        <v>39</v>
      </c>
    </row>
    <row r="10" spans="3:7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7" ht="12.75">
      <c r="A12" s="145"/>
      <c r="B12" s="2" t="s">
        <v>17</v>
      </c>
      <c r="C12" s="146">
        <v>148909</v>
      </c>
      <c r="E12" s="331">
        <v>146113</v>
      </c>
      <c r="F12" s="147"/>
      <c r="G12" s="146">
        <f>C12-E12</f>
        <v>2796</v>
      </c>
    </row>
    <row r="13" spans="1:7" ht="12.75">
      <c r="A13" s="145"/>
      <c r="B13" s="2" t="s">
        <v>20</v>
      </c>
      <c r="C13" s="146">
        <v>4000</v>
      </c>
      <c r="E13" s="331">
        <v>3000</v>
      </c>
      <c r="F13" s="147"/>
      <c r="G13" s="146">
        <f>C13-E13</f>
        <v>1000</v>
      </c>
    </row>
    <row r="14" spans="1:7" ht="12.75">
      <c r="A14" s="145"/>
      <c r="B14" s="2" t="s">
        <v>18</v>
      </c>
      <c r="C14" s="146">
        <v>19060.352</v>
      </c>
      <c r="E14" s="331">
        <f>E12*12.8%</f>
        <v>18702.464</v>
      </c>
      <c r="F14" s="147"/>
      <c r="G14" s="146">
        <f>C14-E14</f>
        <v>357.887999999999</v>
      </c>
    </row>
    <row r="15" spans="1:7" ht="12.75">
      <c r="A15" s="145"/>
      <c r="B15" s="2" t="s">
        <v>19</v>
      </c>
      <c r="C15" s="146">
        <v>24569.985000000004</v>
      </c>
      <c r="E15" s="331">
        <v>24108.645</v>
      </c>
      <c r="F15" s="147"/>
      <c r="G15" s="146">
        <f>C15-E15</f>
        <v>461.3400000000038</v>
      </c>
    </row>
    <row r="16" spans="1:7" ht="12.75">
      <c r="A16" s="145"/>
      <c r="B16" s="145" t="s">
        <v>21</v>
      </c>
      <c r="C16" s="146">
        <v>10000</v>
      </c>
      <c r="E16" s="331">
        <v>6000</v>
      </c>
      <c r="F16" s="147"/>
      <c r="G16" s="146">
        <f>C16-E16</f>
        <v>4000</v>
      </c>
    </row>
    <row r="17" spans="1:7" ht="12.75" customHeight="1" hidden="1">
      <c r="A17" s="145"/>
      <c r="B17" s="145" t="s">
        <v>187</v>
      </c>
      <c r="C17" s="146">
        <v>0</v>
      </c>
      <c r="E17" s="151">
        <v>0</v>
      </c>
      <c r="F17" s="147"/>
      <c r="G17" s="146">
        <f>ROUND(E17-C17,0)</f>
        <v>0</v>
      </c>
    </row>
    <row r="18" spans="1:7" ht="12.75">
      <c r="A18" s="145"/>
      <c r="B18" s="1" t="s">
        <v>42</v>
      </c>
      <c r="C18" s="153">
        <f>SUM(C12:C17)</f>
        <v>206539.33700000003</v>
      </c>
      <c r="D18" s="153"/>
      <c r="E18" s="123">
        <f>SUM(E12:E16)</f>
        <v>197924.109</v>
      </c>
      <c r="F18" s="154"/>
      <c r="G18" s="153">
        <f>SUM(G12:G17)</f>
        <v>8615.228000000003</v>
      </c>
    </row>
    <row r="19" spans="1:7" ht="12.75">
      <c r="A19" s="145"/>
      <c r="C19" s="148"/>
      <c r="D19" s="148"/>
      <c r="E19" s="124"/>
      <c r="F19" s="124"/>
      <c r="G19" s="121"/>
    </row>
    <row r="20" spans="1:7" ht="12.75">
      <c r="A20" s="145"/>
      <c r="B20" s="2" t="s">
        <v>49</v>
      </c>
      <c r="C20" s="146">
        <v>2500</v>
      </c>
      <c r="E20" s="348">
        <v>2500</v>
      </c>
      <c r="F20" s="147"/>
      <c r="G20" s="146">
        <f>C20-E20</f>
        <v>0</v>
      </c>
    </row>
    <row r="21" spans="1:7" ht="12.75">
      <c r="A21" s="145"/>
      <c r="B21" s="2" t="s">
        <v>138</v>
      </c>
      <c r="C21" s="146">
        <v>1500</v>
      </c>
      <c r="E21" s="348">
        <v>1500</v>
      </c>
      <c r="F21" s="147"/>
      <c r="G21" s="146">
        <f>C21-E21</f>
        <v>0</v>
      </c>
    </row>
    <row r="22" spans="1:7" ht="12.75">
      <c r="A22" s="145"/>
      <c r="B22" s="2" t="s">
        <v>50</v>
      </c>
      <c r="C22" s="146">
        <v>200</v>
      </c>
      <c r="E22" s="348">
        <v>200</v>
      </c>
      <c r="F22" s="147"/>
      <c r="G22" s="146">
        <f>C22-E22</f>
        <v>0</v>
      </c>
    </row>
    <row r="23" spans="1:7" ht="12.75" customHeight="1" hidden="1">
      <c r="A23" s="145"/>
      <c r="B23" s="145" t="s">
        <v>51</v>
      </c>
      <c r="C23" s="146">
        <v>0</v>
      </c>
      <c r="E23" s="151">
        <v>0</v>
      </c>
      <c r="F23" s="147"/>
      <c r="G23" s="146">
        <f>ROUND(E23-C23,0)</f>
        <v>0</v>
      </c>
    </row>
    <row r="24" spans="1:7" ht="12.75">
      <c r="A24" s="145"/>
      <c r="B24" s="1" t="s">
        <v>14</v>
      </c>
      <c r="C24" s="153">
        <f>SUM(C20:C23)</f>
        <v>4200</v>
      </c>
      <c r="D24" s="153"/>
      <c r="E24" s="123">
        <f>SUM(E20:E23)</f>
        <v>4200</v>
      </c>
      <c r="F24" s="154"/>
      <c r="G24" s="153">
        <f>SUM(G20:G23)</f>
        <v>0</v>
      </c>
    </row>
    <row r="25" spans="1:7" ht="12.75">
      <c r="A25" s="145"/>
      <c r="E25" s="147"/>
      <c r="F25" s="147"/>
      <c r="G25" s="148"/>
    </row>
    <row r="26" spans="1:7" ht="12.75">
      <c r="A26" s="145"/>
      <c r="B26" s="2" t="s">
        <v>52</v>
      </c>
      <c r="C26" s="146">
        <v>65000</v>
      </c>
      <c r="E26" s="331">
        <v>81000</v>
      </c>
      <c r="F26" s="147"/>
      <c r="G26" s="146">
        <f>C26-E26</f>
        <v>-16000</v>
      </c>
    </row>
    <row r="27" spans="1:7" ht="12.75">
      <c r="A27" s="145"/>
      <c r="B27" s="2" t="s">
        <v>53</v>
      </c>
      <c r="C27" s="146">
        <v>2600</v>
      </c>
      <c r="E27" s="331">
        <v>2120</v>
      </c>
      <c r="F27" s="147"/>
      <c r="G27" s="146">
        <f aca="true" t="shared" si="0" ref="G27:G36">C27-E27</f>
        <v>480</v>
      </c>
    </row>
    <row r="28" spans="1:7" ht="12.75">
      <c r="A28" s="145"/>
      <c r="B28" s="2" t="s">
        <v>54</v>
      </c>
      <c r="C28" s="146">
        <v>44000</v>
      </c>
      <c r="E28" s="331">
        <v>25000</v>
      </c>
      <c r="F28" s="147"/>
      <c r="G28" s="146">
        <f t="shared" si="0"/>
        <v>19000</v>
      </c>
    </row>
    <row r="29" spans="1:7" ht="12.75">
      <c r="A29" s="145"/>
      <c r="B29" s="2" t="s">
        <v>55</v>
      </c>
      <c r="C29" s="146">
        <v>16000</v>
      </c>
      <c r="E29" s="331">
        <v>8800</v>
      </c>
      <c r="F29" s="147"/>
      <c r="G29" s="146">
        <f t="shared" si="0"/>
        <v>7200</v>
      </c>
    </row>
    <row r="30" spans="1:7" ht="12.75">
      <c r="A30" s="145"/>
      <c r="B30" s="2" t="s">
        <v>56</v>
      </c>
      <c r="C30" s="146">
        <v>42000</v>
      </c>
      <c r="E30" s="331">
        <v>48000</v>
      </c>
      <c r="F30" s="147"/>
      <c r="G30" s="146">
        <f t="shared" si="0"/>
        <v>-6000</v>
      </c>
    </row>
    <row r="31" spans="1:7" ht="12.75">
      <c r="A31" s="145"/>
      <c r="B31" s="2" t="s">
        <v>57</v>
      </c>
      <c r="C31" s="146">
        <v>5000</v>
      </c>
      <c r="E31" s="331">
        <v>6500</v>
      </c>
      <c r="F31" s="147"/>
      <c r="G31" s="146">
        <f t="shared" si="0"/>
        <v>-1500</v>
      </c>
    </row>
    <row r="32" spans="1:7" ht="12.75">
      <c r="A32" s="145"/>
      <c r="B32" s="2" t="s">
        <v>58</v>
      </c>
      <c r="C32" s="146">
        <v>15000</v>
      </c>
      <c r="E32" s="331">
        <v>15000</v>
      </c>
      <c r="F32" s="147"/>
      <c r="G32" s="146">
        <f t="shared" si="0"/>
        <v>0</v>
      </c>
    </row>
    <row r="33" spans="1:7" ht="12.75">
      <c r="A33" s="145"/>
      <c r="B33" s="2" t="s">
        <v>24</v>
      </c>
      <c r="C33" s="146">
        <v>20300</v>
      </c>
      <c r="E33" s="331">
        <v>30000</v>
      </c>
      <c r="F33" s="147"/>
      <c r="G33" s="146">
        <f t="shared" si="0"/>
        <v>-9700</v>
      </c>
    </row>
    <row r="34" spans="1:7" ht="12.75">
      <c r="A34" s="145"/>
      <c r="B34" s="2" t="s">
        <v>60</v>
      </c>
      <c r="C34" s="146">
        <v>15034</v>
      </c>
      <c r="E34" s="331">
        <v>16146</v>
      </c>
      <c r="F34" s="147"/>
      <c r="G34" s="146">
        <f t="shared" si="0"/>
        <v>-1112</v>
      </c>
    </row>
    <row r="35" spans="1:7" ht="12.75">
      <c r="A35" s="145"/>
      <c r="B35" s="2" t="s">
        <v>61</v>
      </c>
      <c r="C35" s="146">
        <v>31000</v>
      </c>
      <c r="E35" s="331">
        <v>27300</v>
      </c>
      <c r="F35" s="147"/>
      <c r="G35" s="146">
        <f t="shared" si="0"/>
        <v>3700</v>
      </c>
    </row>
    <row r="36" spans="1:7" ht="12.75">
      <c r="A36" s="145"/>
      <c r="B36" s="2" t="s">
        <v>181</v>
      </c>
      <c r="C36" s="146">
        <v>39000</v>
      </c>
      <c r="E36" s="331">
        <f>64000+15000</f>
        <v>79000</v>
      </c>
      <c r="F36" s="147"/>
      <c r="G36" s="146">
        <f t="shared" si="0"/>
        <v>-40000</v>
      </c>
    </row>
    <row r="37" spans="1:7" ht="12" customHeight="1">
      <c r="A37" s="145"/>
      <c r="B37" s="1" t="s">
        <v>26</v>
      </c>
      <c r="C37" s="166">
        <f>ROUND(SUM(C26:C36),0)</f>
        <v>294934</v>
      </c>
      <c r="D37" s="166"/>
      <c r="E37" s="123">
        <f>SUM(E26:E36)</f>
        <v>338866</v>
      </c>
      <c r="F37" s="154"/>
      <c r="G37" s="153">
        <f>SUM(G26:G36)</f>
        <v>-43932</v>
      </c>
    </row>
    <row r="38" spans="1:7" ht="12" customHeight="1">
      <c r="A38" s="145"/>
      <c r="E38" s="147"/>
      <c r="F38" s="147"/>
      <c r="G38" s="148"/>
    </row>
    <row r="39" spans="1:7" ht="12.75">
      <c r="A39" s="145"/>
      <c r="B39" s="2" t="s">
        <v>66</v>
      </c>
      <c r="C39" s="146">
        <v>505</v>
      </c>
      <c r="E39" s="331">
        <v>505</v>
      </c>
      <c r="F39" s="147"/>
      <c r="G39" s="146">
        <f>C39-E39</f>
        <v>0</v>
      </c>
    </row>
    <row r="40" spans="1:7" ht="12.75">
      <c r="A40" s="145"/>
      <c r="B40" s="2" t="s">
        <v>140</v>
      </c>
      <c r="C40" s="146">
        <v>45000</v>
      </c>
      <c r="E40" s="331">
        <v>30447</v>
      </c>
      <c r="F40" s="147"/>
      <c r="G40" s="146">
        <f aca="true" t="shared" si="1" ref="G40:G50">C40-E40</f>
        <v>14553</v>
      </c>
    </row>
    <row r="41" spans="1:7" ht="12.75">
      <c r="A41" s="145"/>
      <c r="B41" s="2" t="s">
        <v>67</v>
      </c>
      <c r="C41" s="146">
        <v>10000</v>
      </c>
      <c r="E41" s="331">
        <v>15000</v>
      </c>
      <c r="F41" s="147"/>
      <c r="G41" s="146">
        <f t="shared" si="1"/>
        <v>-5000</v>
      </c>
    </row>
    <row r="42" spans="1:7" ht="12.75">
      <c r="A42" s="145"/>
      <c r="B42" s="2" t="s">
        <v>64</v>
      </c>
      <c r="C42" s="146">
        <v>60000</v>
      </c>
      <c r="E42" s="331">
        <v>95000</v>
      </c>
      <c r="F42" s="147"/>
      <c r="G42" s="146">
        <f t="shared" si="1"/>
        <v>-35000</v>
      </c>
    </row>
    <row r="43" spans="1:7" ht="12.75">
      <c r="A43" s="145"/>
      <c r="B43" s="2" t="s">
        <v>65</v>
      </c>
      <c r="C43" s="146">
        <v>50000</v>
      </c>
      <c r="E43" s="331">
        <v>48000</v>
      </c>
      <c r="F43" s="147"/>
      <c r="G43" s="146">
        <f t="shared" si="1"/>
        <v>2000</v>
      </c>
    </row>
    <row r="44" spans="1:7" ht="12.75">
      <c r="A44" s="145"/>
      <c r="B44" s="2" t="s">
        <v>68</v>
      </c>
      <c r="C44" s="146">
        <v>0</v>
      </c>
      <c r="E44" s="331">
        <v>12000</v>
      </c>
      <c r="F44" s="147"/>
      <c r="G44" s="146">
        <f t="shared" si="1"/>
        <v>-12000</v>
      </c>
    </row>
    <row r="45" spans="1:7" ht="12.75">
      <c r="A45" s="145"/>
      <c r="B45" s="2" t="s">
        <v>218</v>
      </c>
      <c r="C45" s="146">
        <v>14450</v>
      </c>
      <c r="E45" s="331">
        <v>40000</v>
      </c>
      <c r="F45" s="147"/>
      <c r="G45" s="146">
        <f t="shared" si="1"/>
        <v>-25550</v>
      </c>
    </row>
    <row r="46" spans="1:7" ht="12.75">
      <c r="A46" s="145"/>
      <c r="B46" s="2" t="s">
        <v>69</v>
      </c>
      <c r="C46" s="146">
        <v>5400</v>
      </c>
      <c r="E46" s="331">
        <v>5000</v>
      </c>
      <c r="F46" s="147"/>
      <c r="G46" s="146">
        <f t="shared" si="1"/>
        <v>400</v>
      </c>
    </row>
    <row r="47" spans="1:7" ht="12.75">
      <c r="A47" s="145"/>
      <c r="B47" s="2" t="s">
        <v>137</v>
      </c>
      <c r="C47" s="146">
        <v>11600</v>
      </c>
      <c r="E47" s="331">
        <v>9040</v>
      </c>
      <c r="F47" s="147"/>
      <c r="G47" s="146">
        <f t="shared" si="1"/>
        <v>2560</v>
      </c>
    </row>
    <row r="48" spans="1:7" ht="12.75">
      <c r="A48" s="145"/>
      <c r="B48" s="2" t="s">
        <v>70</v>
      </c>
      <c r="C48" s="146">
        <v>37800</v>
      </c>
      <c r="E48" s="331">
        <v>44700</v>
      </c>
      <c r="F48" s="147"/>
      <c r="G48" s="146">
        <f t="shared" si="1"/>
        <v>-6900</v>
      </c>
    </row>
    <row r="49" spans="1:7" ht="12.75">
      <c r="A49" s="145"/>
      <c r="B49" s="2" t="s">
        <v>27</v>
      </c>
      <c r="C49" s="146">
        <v>1000</v>
      </c>
      <c r="E49" s="331">
        <v>0</v>
      </c>
      <c r="F49" s="147"/>
      <c r="G49" s="146">
        <f t="shared" si="1"/>
        <v>1000</v>
      </c>
    </row>
    <row r="50" spans="1:9" s="182" customFormat="1" ht="12.75">
      <c r="A50" s="152"/>
      <c r="B50" s="2" t="s">
        <v>224</v>
      </c>
      <c r="C50" s="146">
        <v>24700</v>
      </c>
      <c r="D50" s="146"/>
      <c r="E50" s="151">
        <v>6000</v>
      </c>
      <c r="F50" s="147"/>
      <c r="G50" s="146">
        <f t="shared" si="1"/>
        <v>18700</v>
      </c>
      <c r="I50" s="182" t="s">
        <v>480</v>
      </c>
    </row>
    <row r="51" spans="1:7" ht="12" customHeight="1">
      <c r="A51" s="145"/>
      <c r="B51" s="1" t="s">
        <v>29</v>
      </c>
      <c r="C51" s="166">
        <f>ROUND(SUM(C39:C50),0)</f>
        <v>260455</v>
      </c>
      <c r="D51" s="166"/>
      <c r="E51" s="123">
        <f>SUM(E39:E50)</f>
        <v>305692</v>
      </c>
      <c r="F51" s="154"/>
      <c r="G51" s="153">
        <f>SUM(G39:G50)</f>
        <v>-45237</v>
      </c>
    </row>
    <row r="52" spans="1:7" ht="12" customHeight="1">
      <c r="A52" s="145"/>
      <c r="E52" s="147"/>
      <c r="F52" s="147"/>
      <c r="G52" s="148"/>
    </row>
    <row r="53" spans="1:7" ht="12" customHeight="1">
      <c r="A53" s="145"/>
      <c r="B53" s="2" t="s">
        <v>417</v>
      </c>
      <c r="C53" s="146">
        <v>300</v>
      </c>
      <c r="E53" s="331">
        <v>1000</v>
      </c>
      <c r="F53" s="147"/>
      <c r="G53" s="146">
        <f aca="true" t="shared" si="2" ref="G53:G58">C53-E53</f>
        <v>-700</v>
      </c>
    </row>
    <row r="54" spans="1:7" ht="12.75">
      <c r="A54" s="145"/>
      <c r="B54" s="2" t="s">
        <v>79</v>
      </c>
      <c r="C54" s="146">
        <v>500</v>
      </c>
      <c r="E54" s="331">
        <v>500</v>
      </c>
      <c r="F54" s="147"/>
      <c r="G54" s="146">
        <f t="shared" si="2"/>
        <v>0</v>
      </c>
    </row>
    <row r="55" spans="1:7" ht="12.75">
      <c r="A55" s="145"/>
      <c r="B55" s="2" t="s">
        <v>80</v>
      </c>
      <c r="C55" s="146">
        <v>48000</v>
      </c>
      <c r="E55" s="331">
        <v>44000</v>
      </c>
      <c r="F55" s="147"/>
      <c r="G55" s="146">
        <f t="shared" si="2"/>
        <v>4000</v>
      </c>
    </row>
    <row r="56" spans="1:7" ht="12.75">
      <c r="A56" s="145"/>
      <c r="B56" s="2" t="s">
        <v>85</v>
      </c>
      <c r="C56" s="146">
        <v>17820</v>
      </c>
      <c r="E56" s="331">
        <v>14770</v>
      </c>
      <c r="F56" s="147"/>
      <c r="G56" s="146">
        <f t="shared" si="2"/>
        <v>3050</v>
      </c>
    </row>
    <row r="57" spans="1:7" ht="12.75">
      <c r="A57" s="145"/>
      <c r="B57" s="2" t="s">
        <v>82</v>
      </c>
      <c r="C57" s="146">
        <v>2750</v>
      </c>
      <c r="E57" s="331">
        <v>0</v>
      </c>
      <c r="F57" s="147"/>
      <c r="G57" s="146">
        <f t="shared" si="2"/>
        <v>2750</v>
      </c>
    </row>
    <row r="58" spans="1:7" ht="12.75">
      <c r="A58" s="145"/>
      <c r="B58" s="2" t="s">
        <v>83</v>
      </c>
      <c r="C58" s="146">
        <v>200</v>
      </c>
      <c r="E58" s="151">
        <v>200</v>
      </c>
      <c r="F58" s="147"/>
      <c r="G58" s="146">
        <f t="shared" si="2"/>
        <v>0</v>
      </c>
    </row>
    <row r="59" spans="1:7" ht="12.75">
      <c r="A59" s="145"/>
      <c r="B59" s="1" t="s">
        <v>16</v>
      </c>
      <c r="C59" s="153">
        <f>SUM(C53:C58)</f>
        <v>69570</v>
      </c>
      <c r="D59" s="153"/>
      <c r="E59" s="123">
        <f>SUM(E53:E58)</f>
        <v>60470</v>
      </c>
      <c r="F59" s="154"/>
      <c r="G59" s="153">
        <f>SUM(G54:G58)</f>
        <v>9800</v>
      </c>
    </row>
    <row r="60" spans="1:7" ht="12.75">
      <c r="A60" s="145"/>
      <c r="C60" s="156"/>
      <c r="D60" s="156"/>
      <c r="E60" s="157"/>
      <c r="F60" s="157"/>
      <c r="G60" s="158"/>
    </row>
    <row r="61" spans="2:7" ht="12.75">
      <c r="B61" s="1" t="s">
        <v>88</v>
      </c>
      <c r="C61" s="156">
        <f>C18+C24+C37+C51+C59</f>
        <v>835698.337</v>
      </c>
      <c r="D61" s="156"/>
      <c r="E61" s="159">
        <f>E18+E24+E37+E51+E59</f>
        <v>907152.1089999999</v>
      </c>
      <c r="F61" s="157"/>
      <c r="G61" s="156">
        <f>C61-E61</f>
        <v>-71453.77199999988</v>
      </c>
    </row>
    <row r="63" spans="3:5" ht="12.75">
      <c r="C63" s="146">
        <v>-53407.85</v>
      </c>
      <c r="E63" s="127">
        <v>907152.1089999999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3" r:id="rId1"/>
  <headerFooter alignWithMargins="0">
    <oddHeader>&amp;C&amp;F</oddHeader>
    <oddFooter>&amp;CPage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7"/>
  </sheetPr>
  <dimension ref="A1:G35"/>
  <sheetViews>
    <sheetView zoomScale="90" zoomScaleNormal="90" workbookViewId="0" topLeftCell="A1">
      <selection activeCell="R24" sqref="R24"/>
    </sheetView>
  </sheetViews>
  <sheetFormatPr defaultColWidth="9.140625" defaultRowHeight="12.75"/>
  <cols>
    <col min="1" max="1" width="17.8515625" style="2" customWidth="1"/>
    <col min="2" max="2" width="29.7109375" style="2" bestFit="1" customWidth="1"/>
    <col min="3" max="3" width="10.421875" style="146" bestFit="1" customWidth="1"/>
    <col min="4" max="4" width="4.421875" style="146" customWidth="1"/>
    <col min="5" max="5" width="11.28125" style="127" bestFit="1" customWidth="1"/>
    <col min="6" max="6" width="4.710937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253</v>
      </c>
    </row>
    <row r="5" spans="1:7" s="1" customFormat="1" ht="12.75">
      <c r="A5" s="129" t="s">
        <v>36</v>
      </c>
      <c r="B5" s="128" t="s">
        <v>263</v>
      </c>
      <c r="G5" s="127"/>
    </row>
    <row r="6" spans="1:7" s="1" customFormat="1" ht="12.75">
      <c r="A6" s="128" t="s">
        <v>37</v>
      </c>
      <c r="B6" s="128" t="s">
        <v>257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7" s="1" customFormat="1" ht="12.75">
      <c r="C8" s="133" t="s">
        <v>38</v>
      </c>
      <c r="D8" s="133"/>
      <c r="E8" s="133" t="s">
        <v>476</v>
      </c>
      <c r="F8" s="134"/>
      <c r="G8" s="134"/>
    </row>
    <row r="9" spans="2:7" s="136" customFormat="1" ht="12.75">
      <c r="B9" s="137"/>
      <c r="C9" s="139" t="s">
        <v>494</v>
      </c>
      <c r="D9" s="139"/>
      <c r="E9" s="160" t="s">
        <v>279</v>
      </c>
      <c r="F9" s="160"/>
      <c r="G9" s="160" t="s">
        <v>39</v>
      </c>
    </row>
    <row r="10" spans="3:7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7" ht="12.75">
      <c r="A12" s="145"/>
      <c r="B12" s="2" t="s">
        <v>52</v>
      </c>
      <c r="C12" s="146">
        <v>30000</v>
      </c>
      <c r="E12" s="151">
        <v>30000</v>
      </c>
      <c r="F12" s="147"/>
      <c r="G12" s="146">
        <f>C12-E12</f>
        <v>0</v>
      </c>
    </row>
    <row r="13" spans="1:7" ht="12.75">
      <c r="A13" s="145"/>
      <c r="B13" s="2" t="s">
        <v>53</v>
      </c>
      <c r="C13" s="146">
        <v>500</v>
      </c>
      <c r="E13" s="151">
        <v>0</v>
      </c>
      <c r="F13" s="147"/>
      <c r="G13" s="146">
        <f aca="true" t="shared" si="0" ref="G13:G23">C13-E13</f>
        <v>500</v>
      </c>
    </row>
    <row r="14" spans="1:7" ht="12.75">
      <c r="A14" s="145"/>
      <c r="B14" s="2" t="s">
        <v>54</v>
      </c>
      <c r="C14" s="146">
        <v>15000</v>
      </c>
      <c r="E14" s="151">
        <v>9000</v>
      </c>
      <c r="F14" s="147"/>
      <c r="G14" s="146">
        <f t="shared" si="0"/>
        <v>6000</v>
      </c>
    </row>
    <row r="15" spans="1:7" ht="12.75">
      <c r="A15" s="145"/>
      <c r="B15" s="2" t="s">
        <v>55</v>
      </c>
      <c r="C15" s="146">
        <v>6000</v>
      </c>
      <c r="E15" s="151">
        <v>1600</v>
      </c>
      <c r="F15" s="147"/>
      <c r="G15" s="146">
        <f t="shared" si="0"/>
        <v>4400</v>
      </c>
    </row>
    <row r="16" spans="1:7" ht="12.75">
      <c r="A16" s="145"/>
      <c r="B16" s="2" t="s">
        <v>56</v>
      </c>
      <c r="C16" s="146">
        <v>0</v>
      </c>
      <c r="E16" s="151">
        <v>7000</v>
      </c>
      <c r="F16" s="147"/>
      <c r="G16" s="146">
        <f t="shared" si="0"/>
        <v>-7000</v>
      </c>
    </row>
    <row r="17" spans="1:7" ht="12.75">
      <c r="A17" s="145"/>
      <c r="B17" s="2" t="s">
        <v>57</v>
      </c>
      <c r="C17" s="146">
        <v>0</v>
      </c>
      <c r="E17" s="151">
        <v>700</v>
      </c>
      <c r="F17" s="147"/>
      <c r="G17" s="146">
        <f t="shared" si="0"/>
        <v>-700</v>
      </c>
    </row>
    <row r="18" spans="1:7" ht="12.75">
      <c r="A18" s="145"/>
      <c r="B18" s="2" t="s">
        <v>58</v>
      </c>
      <c r="C18" s="146">
        <v>0</v>
      </c>
      <c r="E18" s="151">
        <v>0</v>
      </c>
      <c r="F18" s="147"/>
      <c r="G18" s="146">
        <f t="shared" si="0"/>
        <v>0</v>
      </c>
    </row>
    <row r="19" spans="1:7" ht="12.75">
      <c r="A19" s="145"/>
      <c r="B19" s="2" t="s">
        <v>24</v>
      </c>
      <c r="C19" s="146">
        <v>6500</v>
      </c>
      <c r="E19" s="151">
        <v>5176</v>
      </c>
      <c r="F19" s="147"/>
      <c r="G19" s="146">
        <f t="shared" si="0"/>
        <v>1324</v>
      </c>
    </row>
    <row r="20" spans="1:7" ht="12.75">
      <c r="A20" s="145"/>
      <c r="B20" s="2" t="s">
        <v>60</v>
      </c>
      <c r="C20" s="146">
        <v>1000</v>
      </c>
      <c r="E20" s="151">
        <v>10450</v>
      </c>
      <c r="F20" s="147"/>
      <c r="G20" s="146">
        <f t="shared" si="0"/>
        <v>-9450</v>
      </c>
    </row>
    <row r="21" spans="1:7" ht="12.75">
      <c r="A21" s="145"/>
      <c r="B21" s="2" t="s">
        <v>61</v>
      </c>
      <c r="C21" s="146">
        <v>5000</v>
      </c>
      <c r="E21" s="151">
        <v>0</v>
      </c>
      <c r="F21" s="147"/>
      <c r="G21" s="146">
        <f t="shared" si="0"/>
        <v>5000</v>
      </c>
    </row>
    <row r="22" spans="1:7" ht="12.75">
      <c r="A22" s="145"/>
      <c r="B22" s="2" t="s">
        <v>181</v>
      </c>
      <c r="C22" s="146">
        <v>10000</v>
      </c>
      <c r="E22" s="151">
        <v>3360</v>
      </c>
      <c r="F22" s="147"/>
      <c r="G22" s="146">
        <f t="shared" si="0"/>
        <v>6640</v>
      </c>
    </row>
    <row r="23" spans="1:7" ht="12.75">
      <c r="A23" s="145"/>
      <c r="B23" s="2" t="s">
        <v>25</v>
      </c>
      <c r="C23" s="146">
        <v>0</v>
      </c>
      <c r="E23" s="151">
        <v>0</v>
      </c>
      <c r="F23" s="147"/>
      <c r="G23" s="146">
        <f t="shared" si="0"/>
        <v>0</v>
      </c>
    </row>
    <row r="24" spans="1:7" ht="12" customHeight="1">
      <c r="A24" s="145"/>
      <c r="B24" s="1" t="s">
        <v>26</v>
      </c>
      <c r="C24" s="166">
        <f>ROUND(SUM(C12:C23),0)</f>
        <v>74000</v>
      </c>
      <c r="D24" s="166"/>
      <c r="E24" s="123">
        <f>SUM(E12:E23)</f>
        <v>67286</v>
      </c>
      <c r="F24" s="154"/>
      <c r="G24" s="153">
        <f>SUM(G12:G23)</f>
        <v>6714</v>
      </c>
    </row>
    <row r="25" spans="1:7" ht="12" customHeight="1">
      <c r="A25" s="145"/>
      <c r="E25" s="147"/>
      <c r="F25" s="147"/>
      <c r="G25" s="148"/>
    </row>
    <row r="26" spans="1:7" ht="12.75">
      <c r="A26" s="145"/>
      <c r="B26" s="2" t="s">
        <v>65</v>
      </c>
      <c r="C26" s="146">
        <v>0</v>
      </c>
      <c r="E26" s="151">
        <v>0</v>
      </c>
      <c r="F26" s="147"/>
      <c r="G26" s="146">
        <f>ROUND(E26-C26,0)</f>
        <v>0</v>
      </c>
    </row>
    <row r="27" spans="1:7" ht="12.75">
      <c r="A27" s="145"/>
      <c r="B27" s="2" t="s">
        <v>218</v>
      </c>
      <c r="C27" s="146">
        <v>0</v>
      </c>
      <c r="E27" s="151">
        <v>0</v>
      </c>
      <c r="F27" s="147"/>
      <c r="G27" s="146">
        <f>ROUND(E27-C27,0)</f>
        <v>0</v>
      </c>
    </row>
    <row r="28" spans="1:7" ht="12.75">
      <c r="A28" s="145"/>
      <c r="B28" s="2" t="s">
        <v>70</v>
      </c>
      <c r="C28" s="146">
        <v>0</v>
      </c>
      <c r="E28" s="151">
        <v>0</v>
      </c>
      <c r="F28" s="147"/>
      <c r="G28" s="146">
        <f>ROUND(E28-C28,0)</f>
        <v>0</v>
      </c>
    </row>
    <row r="29" spans="1:7" ht="12.75">
      <c r="A29" s="145"/>
      <c r="B29" s="2" t="s">
        <v>226</v>
      </c>
      <c r="C29" s="146">
        <v>0</v>
      </c>
      <c r="E29" s="151">
        <v>1000</v>
      </c>
      <c r="F29" s="147"/>
      <c r="G29" s="146">
        <f>ROUND(E29-C29,0)</f>
        <v>1000</v>
      </c>
    </row>
    <row r="30" spans="1:7" ht="12.75">
      <c r="A30" s="145"/>
      <c r="B30" s="2" t="s">
        <v>238</v>
      </c>
      <c r="C30" s="146">
        <v>2000</v>
      </c>
      <c r="E30" s="151">
        <v>1200</v>
      </c>
      <c r="F30" s="147"/>
      <c r="G30" s="146">
        <f>ROUND(E30-C30,0)</f>
        <v>-800</v>
      </c>
    </row>
    <row r="31" spans="1:7" ht="12" customHeight="1">
      <c r="A31" s="145"/>
      <c r="B31" s="1" t="s">
        <v>29</v>
      </c>
      <c r="C31" s="166">
        <f>SUM(C26:C30)</f>
        <v>2000</v>
      </c>
      <c r="D31" s="166"/>
      <c r="E31" s="123">
        <f>SUM(E26:E30)</f>
        <v>2200</v>
      </c>
      <c r="F31" s="154"/>
      <c r="G31" s="153">
        <f>E31-C31</f>
        <v>200</v>
      </c>
    </row>
    <row r="32" ht="12.75">
      <c r="F32" s="147"/>
    </row>
    <row r="33" spans="2:7" ht="12.75">
      <c r="B33" s="1" t="s">
        <v>88</v>
      </c>
      <c r="C33" s="153">
        <f>C24+C31</f>
        <v>76000</v>
      </c>
      <c r="D33" s="153"/>
      <c r="E33" s="123">
        <f>E24+E31</f>
        <v>69486</v>
      </c>
      <c r="F33" s="154"/>
      <c r="G33" s="153">
        <f>E33-C33</f>
        <v>-6514</v>
      </c>
    </row>
    <row r="35" spans="3:5" ht="12.75">
      <c r="C35" s="146">
        <v>-15000</v>
      </c>
      <c r="E35" s="127">
        <v>-10500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&amp;C&amp;F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J80"/>
  <sheetViews>
    <sheetView zoomScale="80" zoomScaleNormal="80" zoomScaleSheetLayoutView="85" workbookViewId="0" topLeftCell="A1">
      <pane ySplit="8" topLeftCell="BM9" activePane="bottomLeft" state="frozen"/>
      <selection pane="topLeft" activeCell="M23" sqref="M23"/>
      <selection pane="bottomLeft" activeCell="A19" sqref="A19"/>
    </sheetView>
  </sheetViews>
  <sheetFormatPr defaultColWidth="9.140625" defaultRowHeight="12.75"/>
  <cols>
    <col min="1" max="1" width="45.8515625" style="2" customWidth="1"/>
    <col min="2" max="2" width="12.8515625" style="2" customWidth="1"/>
    <col min="3" max="3" width="15.140625" style="200" bestFit="1" customWidth="1"/>
    <col min="4" max="5" width="13.140625" style="2" customWidth="1"/>
    <col min="6" max="6" width="9.140625" style="2" customWidth="1"/>
    <col min="7" max="7" width="12.28125" style="2" bestFit="1" customWidth="1"/>
    <col min="8" max="8" width="9.57421875" style="2" bestFit="1" customWidth="1"/>
    <col min="9" max="9" width="11.28125" style="2" bestFit="1" customWidth="1"/>
    <col min="10" max="16384" width="9.140625" style="2" customWidth="1"/>
  </cols>
  <sheetData>
    <row r="1" spans="1:3" s="1" customFormat="1" ht="12.75">
      <c r="A1" s="1" t="s">
        <v>34</v>
      </c>
      <c r="C1" s="196"/>
    </row>
    <row r="2" s="1" customFormat="1" ht="12.75">
      <c r="C2" s="196"/>
    </row>
    <row r="3" spans="1:5" s="1" customFormat="1" ht="12.75">
      <c r="A3" s="131" t="s">
        <v>493</v>
      </c>
      <c r="B3" s="131"/>
      <c r="C3" s="196"/>
      <c r="D3" s="131"/>
      <c r="E3" s="131"/>
    </row>
    <row r="4" spans="1:3" s="1" customFormat="1" ht="12.75">
      <c r="A4" s="1" t="s">
        <v>114</v>
      </c>
      <c r="C4" s="196"/>
    </row>
    <row r="5" s="1" customFormat="1" ht="12.75">
      <c r="C5" s="197"/>
    </row>
    <row r="6" spans="2:5" s="198" customFormat="1" ht="12.75" customHeight="1">
      <c r="B6" s="198" t="s">
        <v>494</v>
      </c>
      <c r="C6" s="199" t="s">
        <v>279</v>
      </c>
      <c r="D6" s="1"/>
      <c r="E6" s="1"/>
    </row>
    <row r="7" spans="2:5" s="136" customFormat="1" ht="12.75">
      <c r="B7" s="136" t="s">
        <v>38</v>
      </c>
      <c r="C7" s="197" t="s">
        <v>476</v>
      </c>
      <c r="D7" s="136" t="s">
        <v>39</v>
      </c>
      <c r="E7" s="136" t="s">
        <v>39</v>
      </c>
    </row>
    <row r="8" spans="1:5" ht="12.75">
      <c r="A8" s="1"/>
      <c r="B8" s="136" t="s">
        <v>40</v>
      </c>
      <c r="C8" s="197" t="s">
        <v>40</v>
      </c>
      <c r="D8" s="136" t="s">
        <v>40</v>
      </c>
      <c r="E8" s="136" t="s">
        <v>41</v>
      </c>
    </row>
    <row r="9" spans="1:5" ht="12.75">
      <c r="A9" s="1" t="s">
        <v>124</v>
      </c>
      <c r="B9" s="1"/>
      <c r="D9" s="1"/>
      <c r="E9" s="1"/>
    </row>
    <row r="10" spans="1:5" ht="12.75">
      <c r="A10" s="1"/>
      <c r="B10" s="1"/>
      <c r="D10" s="1"/>
      <c r="E10" s="1"/>
    </row>
    <row r="11" spans="1:5" ht="12.75">
      <c r="A11" s="1" t="s">
        <v>133</v>
      </c>
      <c r="B11" s="1"/>
      <c r="D11" s="1"/>
      <c r="E11" s="1"/>
    </row>
    <row r="12" spans="1:7" ht="12.75">
      <c r="A12" s="2" t="s">
        <v>115</v>
      </c>
      <c r="B12" s="148">
        <v>179507.3728</v>
      </c>
      <c r="C12" s="331">
        <v>169861.00401167193</v>
      </c>
      <c r="D12" s="146">
        <f>B12-C12</f>
        <v>9646.36878832808</v>
      </c>
      <c r="E12" s="200">
        <f>IF(C12=0,0,(D12/C12*100))</f>
        <v>5.678977846890175</v>
      </c>
      <c r="G12" s="146"/>
    </row>
    <row r="13" spans="1:7" ht="12.75">
      <c r="A13" s="2" t="s">
        <v>198</v>
      </c>
      <c r="B13" s="148">
        <v>1877850.3007600005</v>
      </c>
      <c r="C13" s="331">
        <v>1806607.4796534085</v>
      </c>
      <c r="D13" s="146">
        <f aca="true" t="shared" si="0" ref="D13:D25">B13-C13</f>
        <v>71242.82110659196</v>
      </c>
      <c r="E13" s="200">
        <f aca="true" t="shared" si="1" ref="E13:E25">IF(C13=0,0,(D13/C13*100))</f>
        <v>3.9434587705935797</v>
      </c>
      <c r="G13" s="146"/>
    </row>
    <row r="14" spans="1:7" ht="12.75">
      <c r="A14" s="2" t="s">
        <v>135</v>
      </c>
      <c r="B14" s="148">
        <v>932313.992</v>
      </c>
      <c r="C14" s="331">
        <v>860616.4290391454</v>
      </c>
      <c r="D14" s="146">
        <f t="shared" si="0"/>
        <v>71697.56296085462</v>
      </c>
      <c r="E14" s="200">
        <f t="shared" si="1"/>
        <v>8.330954481185419</v>
      </c>
      <c r="G14" s="146"/>
    </row>
    <row r="15" spans="1:7" ht="12.75">
      <c r="A15" s="2" t="s">
        <v>116</v>
      </c>
      <c r="B15" s="148">
        <v>311775.33</v>
      </c>
      <c r="C15" s="331">
        <v>317656.79472983984</v>
      </c>
      <c r="D15" s="146">
        <f t="shared" si="0"/>
        <v>-5881.464729839878</v>
      </c>
      <c r="E15" s="200">
        <f t="shared" si="1"/>
        <v>-1.851515480675279</v>
      </c>
      <c r="G15" s="146"/>
    </row>
    <row r="16" spans="1:7" ht="12.75">
      <c r="A16" s="2" t="s">
        <v>448</v>
      </c>
      <c r="B16" s="148">
        <v>506202.88560000004</v>
      </c>
      <c r="C16" s="331">
        <v>469162.67521596747</v>
      </c>
      <c r="D16" s="146">
        <f t="shared" si="0"/>
        <v>37040.21038403257</v>
      </c>
      <c r="E16" s="200">
        <f t="shared" si="1"/>
        <v>7.894961031796067</v>
      </c>
      <c r="G16" s="146"/>
    </row>
    <row r="17" spans="1:7" ht="12.75">
      <c r="A17" s="2" t="s">
        <v>118</v>
      </c>
      <c r="B17" s="148">
        <v>2366576.3229599996</v>
      </c>
      <c r="C17" s="331">
        <v>2258882.699207922</v>
      </c>
      <c r="D17" s="146">
        <f t="shared" si="0"/>
        <v>107693.62375207758</v>
      </c>
      <c r="E17" s="200">
        <f t="shared" si="1"/>
        <v>4.767561582097219</v>
      </c>
      <c r="G17" s="146"/>
    </row>
    <row r="18" spans="1:7" s="1" customFormat="1" ht="12.75">
      <c r="A18" s="2" t="s">
        <v>209</v>
      </c>
      <c r="B18" s="121">
        <v>650166.7544</v>
      </c>
      <c r="C18" s="331">
        <v>570798.4020034786</v>
      </c>
      <c r="D18" s="146">
        <f t="shared" si="0"/>
        <v>79368.35239652137</v>
      </c>
      <c r="E18" s="200">
        <f t="shared" si="1"/>
        <v>13.904795829480559</v>
      </c>
      <c r="G18" s="146"/>
    </row>
    <row r="19" spans="1:7" ht="12.75">
      <c r="A19" s="2" t="s">
        <v>136</v>
      </c>
      <c r="B19" s="148">
        <v>102497.846008</v>
      </c>
      <c r="C19" s="331">
        <v>94168.62552805571</v>
      </c>
      <c r="D19" s="146">
        <f t="shared" si="0"/>
        <v>8329.220479944284</v>
      </c>
      <c r="E19" s="200">
        <f t="shared" si="1"/>
        <v>8.845005895793557</v>
      </c>
      <c r="G19" s="146"/>
    </row>
    <row r="20" spans="1:7" ht="12.75">
      <c r="A20" s="2" t="s">
        <v>119</v>
      </c>
      <c r="B20" s="148">
        <v>1076663.844976</v>
      </c>
      <c r="C20" s="331">
        <v>979413.503409216</v>
      </c>
      <c r="D20" s="146">
        <f t="shared" si="0"/>
        <v>97250.34156678407</v>
      </c>
      <c r="E20" s="200">
        <f t="shared" si="1"/>
        <v>9.929446676839538</v>
      </c>
      <c r="G20" s="146"/>
    </row>
    <row r="21" spans="1:7" ht="12.75">
      <c r="A21" s="2" t="s">
        <v>120</v>
      </c>
      <c r="B21" s="148">
        <v>3399343.7328000003</v>
      </c>
      <c r="C21" s="331">
        <v>3076740.343671331</v>
      </c>
      <c r="D21" s="146">
        <f t="shared" si="0"/>
        <v>322603.38912866917</v>
      </c>
      <c r="E21" s="200">
        <f t="shared" si="1"/>
        <v>10.485232846907111</v>
      </c>
      <c r="G21" s="146"/>
    </row>
    <row r="22" spans="1:7" ht="12.75">
      <c r="A22" s="2" t="s">
        <v>567</v>
      </c>
      <c r="B22" s="148">
        <v>886166</v>
      </c>
      <c r="C22" s="331">
        <v>0</v>
      </c>
      <c r="D22" s="146">
        <f t="shared" si="0"/>
        <v>886166</v>
      </c>
      <c r="E22" s="200">
        <f t="shared" si="1"/>
        <v>0</v>
      </c>
      <c r="G22" s="146"/>
    </row>
    <row r="23" spans="1:7" ht="12.75">
      <c r="A23" s="2" t="s">
        <v>121</v>
      </c>
      <c r="B23" s="148">
        <v>70229.4304</v>
      </c>
      <c r="C23" s="331">
        <v>66937.65783410417</v>
      </c>
      <c r="D23" s="146">
        <f t="shared" si="0"/>
        <v>3291.7725658958225</v>
      </c>
      <c r="E23" s="200">
        <f t="shared" si="1"/>
        <v>4.917669175180928</v>
      </c>
      <c r="G23" s="146"/>
    </row>
    <row r="24" spans="1:7" ht="12.75">
      <c r="A24" s="2" t="s">
        <v>122</v>
      </c>
      <c r="B24" s="148">
        <v>2253418.4359999998</v>
      </c>
      <c r="C24" s="331">
        <v>2086028.5257158044</v>
      </c>
      <c r="D24" s="146">
        <f t="shared" si="0"/>
        <v>167389.91028419533</v>
      </c>
      <c r="E24" s="200">
        <f t="shared" si="1"/>
        <v>8.02433467331214</v>
      </c>
      <c r="G24" s="146"/>
    </row>
    <row r="25" spans="1:7" s="1" customFormat="1" ht="12.75">
      <c r="A25" s="2" t="s">
        <v>123</v>
      </c>
      <c r="B25" s="158">
        <v>947098.4815999999</v>
      </c>
      <c r="C25" s="351">
        <v>939606.4226047539</v>
      </c>
      <c r="D25" s="156">
        <f t="shared" si="0"/>
        <v>7492.058995246072</v>
      </c>
      <c r="E25" s="201">
        <f t="shared" si="1"/>
        <v>0.7973614073940417</v>
      </c>
      <c r="G25" s="146"/>
    </row>
    <row r="26" s="1" customFormat="1" ht="12.75">
      <c r="C26" s="151"/>
    </row>
    <row r="27" spans="1:5" ht="12.75">
      <c r="A27" s="1" t="s">
        <v>11</v>
      </c>
      <c r="B27" s="147">
        <f>SUM(B12:B26)</f>
        <v>15559810.730304</v>
      </c>
      <c r="C27" s="151">
        <f>SUM(C12:C25)</f>
        <v>13696480.562624699</v>
      </c>
      <c r="D27" s="146">
        <f>B27-C27</f>
        <v>1863330.1676793024</v>
      </c>
      <c r="E27" s="200">
        <f>IF(C27=0,0,(D27/C27*100))</f>
        <v>13.604445018992726</v>
      </c>
    </row>
    <row r="28" spans="1:5" ht="12.75">
      <c r="A28" s="1" t="s">
        <v>186</v>
      </c>
      <c r="B28" s="1">
        <v>0</v>
      </c>
      <c r="C28" s="151">
        <v>0</v>
      </c>
      <c r="D28" s="1">
        <v>0</v>
      </c>
      <c r="E28" s="1">
        <v>0</v>
      </c>
    </row>
    <row r="29" spans="1:5" ht="12.75">
      <c r="A29" s="1"/>
      <c r="B29" s="1"/>
      <c r="C29" s="159"/>
      <c r="D29" s="1"/>
      <c r="E29" s="1"/>
    </row>
    <row r="30" spans="2:5" ht="12.75">
      <c r="B30" s="202"/>
      <c r="C30" s="151"/>
      <c r="D30" s="202"/>
      <c r="E30" s="202"/>
    </row>
    <row r="31" spans="1:5" s="1" customFormat="1" ht="12.75">
      <c r="A31" s="1" t="s">
        <v>113</v>
      </c>
      <c r="B31" s="127">
        <f>B27+B28</f>
        <v>15559810.730304</v>
      </c>
      <c r="C31" s="151">
        <f>C27+C28</f>
        <v>13696480.562624699</v>
      </c>
      <c r="D31" s="127">
        <f>D27+D28</f>
        <v>1863330.1676793024</v>
      </c>
      <c r="E31" s="200">
        <f>IF(C31=0,0,(D31/C31*100))</f>
        <v>13.604445018992726</v>
      </c>
    </row>
    <row r="32" spans="2:5" ht="12.75">
      <c r="B32" s="203"/>
      <c r="C32" s="159"/>
      <c r="D32" s="203"/>
      <c r="E32" s="203"/>
    </row>
    <row r="33" spans="1:5" ht="12.75">
      <c r="A33" s="1" t="s">
        <v>125</v>
      </c>
      <c r="B33" s="1"/>
      <c r="C33" s="147"/>
      <c r="D33" s="1"/>
      <c r="E33" s="1"/>
    </row>
    <row r="34" ht="12.75">
      <c r="C34" s="147"/>
    </row>
    <row r="35" spans="1:10" ht="12.75">
      <c r="A35" s="1" t="s">
        <v>126</v>
      </c>
      <c r="B35" s="1"/>
      <c r="C35" s="147"/>
      <c r="D35" s="1"/>
      <c r="E35" s="1"/>
      <c r="J35" s="146">
        <f>C38+C49</f>
        <v>552707.1770588235</v>
      </c>
    </row>
    <row r="36" spans="1:9" ht="12.75">
      <c r="A36" s="2" t="s">
        <v>129</v>
      </c>
      <c r="B36" s="122">
        <f>'Chief Exec'!C35</f>
        <v>322356.676</v>
      </c>
      <c r="C36" s="151">
        <f>'Chief Exec'!E35</f>
        <v>307800.76602</v>
      </c>
      <c r="D36" s="146">
        <f aca="true" t="shared" si="2" ref="D36:D52">B36-C36</f>
        <v>14555.909979999997</v>
      </c>
      <c r="E36" s="204">
        <f aca="true" t="shared" si="3" ref="E36:E52">IF(C36=0,0,(D36/C36*100))</f>
        <v>4.7290038190009565</v>
      </c>
      <c r="G36" s="328"/>
      <c r="H36" s="146"/>
      <c r="I36" s="347"/>
    </row>
    <row r="37" spans="1:9" s="149" customFormat="1" ht="12.75">
      <c r="A37" s="149" t="s">
        <v>132</v>
      </c>
      <c r="B37" s="205">
        <f>Communications!C48</f>
        <v>1076199.2340000002</v>
      </c>
      <c r="C37" s="150">
        <f>Communications!E48</f>
        <v>1020665.7281</v>
      </c>
      <c r="D37" s="146">
        <f t="shared" si="2"/>
        <v>55533.50590000022</v>
      </c>
      <c r="E37" s="204">
        <f t="shared" si="3"/>
        <v>5.440910218801754</v>
      </c>
      <c r="G37" s="328"/>
      <c r="H37" s="148"/>
      <c r="I37" s="347"/>
    </row>
    <row r="38" spans="1:9" ht="12.75">
      <c r="A38" s="2" t="s">
        <v>526</v>
      </c>
      <c r="B38" s="122">
        <f>Council!C45</f>
        <v>447701</v>
      </c>
      <c r="C38" s="151">
        <f>Council!E45</f>
        <v>503274.6470588235</v>
      </c>
      <c r="D38" s="146">
        <f t="shared" si="2"/>
        <v>-55573.647058823495</v>
      </c>
      <c r="E38" s="204">
        <f t="shared" si="3"/>
        <v>-11.042409424675025</v>
      </c>
      <c r="G38" s="328"/>
      <c r="H38" s="146"/>
      <c r="I38" s="347"/>
    </row>
    <row r="39" spans="1:9" ht="12.75">
      <c r="A39" s="2" t="s">
        <v>145</v>
      </c>
      <c r="B39" s="122">
        <f>Dep!C22:C22</f>
        <v>452804</v>
      </c>
      <c r="C39" s="151">
        <f>Dep!E22</f>
        <v>320374.02</v>
      </c>
      <c r="D39" s="146">
        <f t="shared" si="2"/>
        <v>132429.97999999998</v>
      </c>
      <c r="E39" s="204">
        <f t="shared" si="3"/>
        <v>41.33605465262132</v>
      </c>
      <c r="G39" s="328"/>
      <c r="H39" s="146"/>
      <c r="I39" s="347"/>
    </row>
    <row r="40" spans="1:9" ht="12.75">
      <c r="A40" s="2" t="s">
        <v>568</v>
      </c>
      <c r="B40" s="122">
        <f>'App &amp; Mon'!C49</f>
        <v>766270.51765</v>
      </c>
      <c r="C40" s="151">
        <f>'App &amp; Mon'!E49</f>
        <v>575137.6780000001</v>
      </c>
      <c r="D40" s="146">
        <f t="shared" si="2"/>
        <v>191132.83964999998</v>
      </c>
      <c r="E40" s="204">
        <f t="shared" si="3"/>
        <v>33.23253665359756</v>
      </c>
      <c r="G40" s="328"/>
      <c r="H40" s="146"/>
      <c r="I40" s="347"/>
    </row>
    <row r="41" spans="1:9" ht="12.75">
      <c r="A41" s="2" t="s">
        <v>449</v>
      </c>
      <c r="B41" s="122">
        <f>'Fac Man'!C61+'22-26 Stannary St'!C33</f>
        <v>911698.337</v>
      </c>
      <c r="C41" s="151">
        <v>976638.1089999999</v>
      </c>
      <c r="D41" s="146">
        <f t="shared" si="2"/>
        <v>-64939.77199999988</v>
      </c>
      <c r="E41" s="204">
        <f t="shared" si="3"/>
        <v>-6.649317838568993</v>
      </c>
      <c r="G41" s="328"/>
      <c r="H41" s="146"/>
      <c r="I41" s="347"/>
    </row>
    <row r="42" spans="1:9" ht="12.75">
      <c r="A42" s="2" t="s">
        <v>131</v>
      </c>
      <c r="B42" s="122">
        <f>Finance!C48</f>
        <v>635442.0080290238</v>
      </c>
      <c r="C42" s="151">
        <f>Finance!E48</f>
        <v>622216.154</v>
      </c>
      <c r="D42" s="146">
        <f t="shared" si="2"/>
        <v>13225.854029023787</v>
      </c>
      <c r="E42" s="204">
        <f t="shared" si="3"/>
        <v>2.1256044131930056</v>
      </c>
      <c r="G42" s="328"/>
      <c r="H42" s="146"/>
      <c r="I42" s="347"/>
    </row>
    <row r="43" spans="1:9" ht="12.75">
      <c r="A43" s="2" t="s">
        <v>205</v>
      </c>
      <c r="B43" s="122">
        <f>Fitness!C61</f>
        <v>5581599.491666667</v>
      </c>
      <c r="C43" s="151">
        <f>Fitness!E61</f>
        <v>4557660.092999999</v>
      </c>
      <c r="D43" s="146">
        <f t="shared" si="2"/>
        <v>1023939.3986666678</v>
      </c>
      <c r="E43" s="204">
        <f t="shared" si="3"/>
        <v>22.46633969565461</v>
      </c>
      <c r="G43" s="328"/>
      <c r="H43" s="146"/>
      <c r="I43" s="347"/>
    </row>
    <row r="44" spans="1:9" ht="12.75">
      <c r="A44" s="2" t="s">
        <v>581</v>
      </c>
      <c r="B44" s="122">
        <f>'HR'!C47</f>
        <v>367517.15</v>
      </c>
      <c r="C44" s="151">
        <f>'HR'!E47</f>
        <v>410588.66</v>
      </c>
      <c r="D44" s="146">
        <f t="shared" si="2"/>
        <v>-43071.50999999995</v>
      </c>
      <c r="E44" s="204">
        <f t="shared" si="3"/>
        <v>-10.49018499439316</v>
      </c>
      <c r="G44" s="328"/>
      <c r="H44" s="146"/>
      <c r="I44" s="347"/>
    </row>
    <row r="45" spans="1:9" ht="12.75">
      <c r="A45" s="2" t="s">
        <v>580</v>
      </c>
      <c r="B45" s="122">
        <f>Partners!C41</f>
        <v>375610.61439999996</v>
      </c>
      <c r="C45" s="151">
        <f>Partners!E41</f>
        <v>292543.3794</v>
      </c>
      <c r="D45" s="146">
        <f t="shared" si="2"/>
        <v>83067.23499999999</v>
      </c>
      <c r="E45" s="204">
        <f t="shared" si="3"/>
        <v>28.394843585374947</v>
      </c>
      <c r="G45" s="328"/>
      <c r="H45" s="146"/>
      <c r="I45" s="347"/>
    </row>
    <row r="46" spans="1:9" ht="12.75">
      <c r="A46" s="2" t="s">
        <v>130</v>
      </c>
      <c r="B46" s="122">
        <f>'IT'!C51</f>
        <v>944125.105</v>
      </c>
      <c r="C46" s="151">
        <f>'IT'!E51</f>
        <v>785352.7409999999</v>
      </c>
      <c r="D46" s="146">
        <f t="shared" si="2"/>
        <v>158772.36400000006</v>
      </c>
      <c r="E46" s="204">
        <f t="shared" si="3"/>
        <v>20.21669444966005</v>
      </c>
      <c r="G46" s="328"/>
      <c r="H46" s="146"/>
      <c r="I46" s="347"/>
    </row>
    <row r="47" spans="1:9" ht="12.75">
      <c r="A47" s="2" t="s">
        <v>250</v>
      </c>
      <c r="B47" s="122">
        <f>'Ops Off'!C41</f>
        <v>450976.982</v>
      </c>
      <c r="C47" s="151">
        <f>'Ops Off'!E41</f>
        <v>401032.47900000005</v>
      </c>
      <c r="D47" s="146">
        <f t="shared" si="2"/>
        <v>49944.50299999997</v>
      </c>
      <c r="E47" s="204">
        <f t="shared" si="3"/>
        <v>12.453979569071253</v>
      </c>
      <c r="G47" s="328"/>
      <c r="H47" s="146"/>
      <c r="I47" s="347"/>
    </row>
    <row r="48" spans="1:9" s="149" customFormat="1" ht="12.75">
      <c r="A48" s="149" t="s">
        <v>246</v>
      </c>
      <c r="B48" s="205">
        <f>Policy!C43</f>
        <v>417428.10569999996</v>
      </c>
      <c r="C48" s="151">
        <f>Policy!E43</f>
        <v>329839.897</v>
      </c>
      <c r="D48" s="146">
        <f t="shared" si="2"/>
        <v>87588.20869999996</v>
      </c>
      <c r="E48" s="204">
        <f t="shared" si="3"/>
        <v>26.55476475000232</v>
      </c>
      <c r="G48" s="328"/>
      <c r="H48" s="146"/>
      <c r="I48" s="347"/>
    </row>
    <row r="49" spans="1:9" ht="12.75">
      <c r="A49" s="149" t="s">
        <v>128</v>
      </c>
      <c r="B49" s="205">
        <f>President!C22</f>
        <v>49432.53</v>
      </c>
      <c r="C49" s="151">
        <f>President!E22</f>
        <v>49432.53</v>
      </c>
      <c r="D49" s="146">
        <f t="shared" si="2"/>
        <v>0</v>
      </c>
      <c r="E49" s="204">
        <f t="shared" si="3"/>
        <v>0</v>
      </c>
      <c r="G49" s="328"/>
      <c r="H49" s="146"/>
      <c r="I49" s="347"/>
    </row>
    <row r="50" spans="1:9" ht="12.75">
      <c r="A50" s="149" t="s">
        <v>425</v>
      </c>
      <c r="B50" s="205">
        <f>Major!S37</f>
        <v>420196.96125</v>
      </c>
      <c r="C50" s="151">
        <f>Major!U37</f>
        <v>146795</v>
      </c>
      <c r="D50" s="146">
        <f t="shared" si="2"/>
        <v>273401.96125</v>
      </c>
      <c r="E50" s="204">
        <f t="shared" si="3"/>
        <v>186.24746159610342</v>
      </c>
      <c r="G50" s="328"/>
      <c r="H50" s="146"/>
      <c r="I50" s="347"/>
    </row>
    <row r="51" spans="1:9" s="1" customFormat="1" ht="12.75">
      <c r="A51" s="2" t="s">
        <v>213</v>
      </c>
      <c r="B51" s="122">
        <f>Registration!C45</f>
        <v>2023510.5083333333</v>
      </c>
      <c r="C51" s="151">
        <f>Registration!E45</f>
        <v>1625660.9289199999</v>
      </c>
      <c r="D51" s="146">
        <f t="shared" si="2"/>
        <v>397849.57941333344</v>
      </c>
      <c r="E51" s="204">
        <f t="shared" si="3"/>
        <v>24.47309720838545</v>
      </c>
      <c r="G51" s="328"/>
      <c r="H51" s="146"/>
      <c r="I51" s="347"/>
    </row>
    <row r="52" spans="1:9" ht="12.75">
      <c r="A52" s="2" t="s">
        <v>199</v>
      </c>
      <c r="B52" s="206">
        <f>Secretariat!C36</f>
        <v>304247.323</v>
      </c>
      <c r="C52" s="159">
        <f>Secretariat!E36</f>
        <v>274713.404125</v>
      </c>
      <c r="D52" s="156">
        <f t="shared" si="2"/>
        <v>29533.918874999974</v>
      </c>
      <c r="E52" s="201">
        <f t="shared" si="3"/>
        <v>10.75081100213132</v>
      </c>
      <c r="G52" s="328"/>
      <c r="H52" s="146"/>
      <c r="I52" s="347"/>
    </row>
    <row r="53" spans="2:9" ht="12.75">
      <c r="B53" s="122"/>
      <c r="C53" s="150"/>
      <c r="D53" s="146"/>
      <c r="G53" s="352"/>
      <c r="I53" s="347"/>
    </row>
    <row r="54" spans="1:7" s="1" customFormat="1" ht="12.75">
      <c r="A54" s="1" t="s">
        <v>12</v>
      </c>
      <c r="B54" s="13">
        <f>SUM(B36:B52)</f>
        <v>15547116.544029023</v>
      </c>
      <c r="C54" s="151">
        <f>SUM(C36:C52)</f>
        <v>13199726.214623822</v>
      </c>
      <c r="D54" s="146">
        <f>B54-C54</f>
        <v>2347390.3294052016</v>
      </c>
      <c r="E54" s="204">
        <f>IF(C54=0,0,(D54/C54*100))</f>
        <v>17.783628927125438</v>
      </c>
      <c r="F54" s="127"/>
      <c r="G54" s="329"/>
    </row>
    <row r="55" spans="1:7" ht="12.75">
      <c r="A55" s="207"/>
      <c r="B55" s="208"/>
      <c r="C55" s="159"/>
      <c r="D55" s="209"/>
      <c r="E55" s="209"/>
      <c r="G55" s="1"/>
    </row>
    <row r="56" spans="1:5" ht="12.75">
      <c r="A56" s="1"/>
      <c r="B56" s="1"/>
      <c r="C56" s="151"/>
      <c r="D56" s="1"/>
      <c r="E56" s="1"/>
    </row>
    <row r="57" spans="1:7" s="1" customFormat="1" ht="12.75">
      <c r="A57" s="1" t="s">
        <v>445</v>
      </c>
      <c r="B57" s="147">
        <f>B31-B54</f>
        <v>12694.1862749774</v>
      </c>
      <c r="C57" s="151">
        <f>C31-C54</f>
        <v>496754.3480008766</v>
      </c>
      <c r="D57" s="146">
        <f>B57-C57</f>
        <v>-484060.1617258992</v>
      </c>
      <c r="E57" s="204">
        <f>IF(C57=0,0,(D57/C57*100))</f>
        <v>-97.444574702554</v>
      </c>
      <c r="G57" s="2"/>
    </row>
    <row r="58" spans="3:7" ht="12.75">
      <c r="C58" s="210"/>
      <c r="G58" s="1"/>
    </row>
    <row r="59" spans="1:5" ht="12.75">
      <c r="A59" s="1" t="s">
        <v>237</v>
      </c>
      <c r="B59" s="1">
        <v>0</v>
      </c>
      <c r="C59" s="210">
        <v>0</v>
      </c>
      <c r="E59" s="1"/>
    </row>
    <row r="60" spans="1:5" ht="12.75">
      <c r="A60" s="1"/>
      <c r="B60" s="1"/>
      <c r="C60" s="210"/>
      <c r="E60" s="1"/>
    </row>
    <row r="61" spans="1:5" ht="12.75">
      <c r="A61" s="1" t="s">
        <v>446</v>
      </c>
      <c r="B61" s="211">
        <v>175000</v>
      </c>
      <c r="C61" s="150">
        <v>175000</v>
      </c>
      <c r="D61" s="121">
        <f>B61-C61</f>
        <v>0</v>
      </c>
      <c r="E61" s="204">
        <f>IF(C61=0,0,(D61/C61*100))</f>
        <v>0</v>
      </c>
    </row>
    <row r="62" spans="1:5" ht="12.75">
      <c r="A62" s="1" t="s">
        <v>252</v>
      </c>
      <c r="B62" s="1"/>
      <c r="C62" s="151">
        <v>0</v>
      </c>
      <c r="D62" s="1"/>
      <c r="E62" s="1"/>
    </row>
    <row r="63" ht="12.75">
      <c r="C63" s="210"/>
    </row>
    <row r="64" spans="1:7" s="1" customFormat="1" ht="13.5" thickBot="1">
      <c r="A64" s="1" t="s">
        <v>220</v>
      </c>
      <c r="B64" s="212">
        <f>B57+B59+B61+B62</f>
        <v>187694.1862749774</v>
      </c>
      <c r="C64" s="213">
        <f>C57+C59+C61+C62</f>
        <v>671754.3480008766</v>
      </c>
      <c r="D64" s="214">
        <f>B64-C64</f>
        <v>-484060.1617258992</v>
      </c>
      <c r="E64" s="204">
        <f>IF(C64=0,0,(D64/C64*100))</f>
        <v>-72.05910362418192</v>
      </c>
      <c r="G64" s="2"/>
    </row>
    <row r="65" ht="13.5" thickTop="1">
      <c r="G65" s="1"/>
    </row>
    <row r="66" ht="12.75">
      <c r="C66" s="200">
        <v>0.28333333507180214</v>
      </c>
    </row>
    <row r="69" spans="1:5" ht="12.75">
      <c r="A69" s="1"/>
      <c r="B69" s="1"/>
      <c r="D69" s="1"/>
      <c r="E69" s="1"/>
    </row>
    <row r="71" spans="1:5" ht="12.75">
      <c r="A71" s="1"/>
      <c r="B71" s="1"/>
      <c r="D71" s="1"/>
      <c r="E71" s="1"/>
    </row>
    <row r="72" spans="1:5" ht="12.75">
      <c r="A72" s="1"/>
      <c r="B72" s="1"/>
      <c r="D72" s="1"/>
      <c r="E72" s="1"/>
    </row>
    <row r="73" spans="1:5" ht="12.75">
      <c r="A73" s="1"/>
      <c r="B73" s="1"/>
      <c r="D73" s="1"/>
      <c r="E73" s="1"/>
    </row>
    <row r="74" spans="1:5" ht="12.75">
      <c r="A74" s="1"/>
      <c r="B74" s="1"/>
      <c r="D74" s="1"/>
      <c r="E74" s="1"/>
    </row>
    <row r="75" spans="1:5" ht="12.75">
      <c r="A75" s="1"/>
      <c r="B75" s="1"/>
      <c r="D75" s="1"/>
      <c r="E75" s="1"/>
    </row>
    <row r="77" spans="1:5" ht="12.75">
      <c r="A77" s="1"/>
      <c r="B77" s="1"/>
      <c r="D77" s="1"/>
      <c r="E77" s="1"/>
    </row>
    <row r="78" spans="1:5" ht="12.75">
      <c r="A78" s="1"/>
      <c r="B78" s="1"/>
      <c r="D78" s="1"/>
      <c r="E78" s="1"/>
    </row>
    <row r="79" spans="1:5" ht="12.75">
      <c r="A79" s="1"/>
      <c r="B79" s="1"/>
      <c r="D79" s="1"/>
      <c r="E79" s="1"/>
    </row>
    <row r="80" spans="1:5" ht="12.75">
      <c r="A80" s="1"/>
      <c r="B80" s="1"/>
      <c r="D80" s="1"/>
      <c r="E80" s="1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  <headerFooter alignWithMargins="0">
    <oddHeader>&amp;C&amp;F</oddHeader>
    <oddFooter>&amp;CPage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57"/>
  </sheetPr>
  <dimension ref="A1:H63"/>
  <sheetViews>
    <sheetView zoomScale="95" zoomScaleNormal="95" workbookViewId="0" topLeftCell="A1">
      <selection activeCell="C36" sqref="C36"/>
    </sheetView>
  </sheetViews>
  <sheetFormatPr defaultColWidth="9.140625" defaultRowHeight="12.75"/>
  <cols>
    <col min="1" max="1" width="17.8515625" style="149" customWidth="1"/>
    <col min="2" max="2" width="34.7109375" style="149" customWidth="1"/>
    <col min="3" max="3" width="11.8515625" style="146" customWidth="1"/>
    <col min="4" max="4" width="4.57421875" style="146" customWidth="1"/>
    <col min="5" max="5" width="13.7109375" style="127" bestFit="1" customWidth="1"/>
    <col min="6" max="6" width="5.00390625" style="127" customWidth="1"/>
    <col min="7" max="7" width="10.8515625" style="146" bestFit="1" customWidth="1"/>
    <col min="8" max="16384" width="9.140625" style="2" customWidth="1"/>
  </cols>
  <sheetData>
    <row r="1" spans="1:7" s="1" customFormat="1" ht="12.75">
      <c r="A1" s="172" t="s">
        <v>34</v>
      </c>
      <c r="B1" s="161"/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B2" s="161"/>
      <c r="C2" s="127"/>
      <c r="D2" s="127"/>
      <c r="E2" s="127"/>
      <c r="F2" s="127"/>
      <c r="G2" s="127"/>
    </row>
    <row r="3" spans="1:7" s="1" customFormat="1" ht="12.75">
      <c r="A3" s="161"/>
      <c r="B3" s="161"/>
      <c r="C3" s="127"/>
      <c r="D3" s="127"/>
      <c r="E3" s="127"/>
      <c r="F3" s="127"/>
      <c r="G3" s="127"/>
    </row>
    <row r="4" spans="1:2" s="1" customFormat="1" ht="12.75">
      <c r="A4" s="173" t="s">
        <v>35</v>
      </c>
      <c r="B4" s="173" t="s">
        <v>206</v>
      </c>
    </row>
    <row r="5" spans="1:7" s="1" customFormat="1" ht="12.75">
      <c r="A5" s="174" t="s">
        <v>36</v>
      </c>
      <c r="B5" s="173" t="s">
        <v>8</v>
      </c>
      <c r="G5" s="127"/>
    </row>
    <row r="6" spans="1:7" s="1" customFormat="1" ht="12.75">
      <c r="A6" s="173" t="s">
        <v>37</v>
      </c>
      <c r="B6" s="173" t="s">
        <v>215</v>
      </c>
      <c r="G6" s="130"/>
    </row>
    <row r="7" spans="1:7" s="1" customFormat="1" ht="12.75">
      <c r="A7" s="161"/>
      <c r="B7" s="175"/>
      <c r="C7" s="130"/>
      <c r="D7" s="130"/>
      <c r="E7" s="130"/>
      <c r="F7" s="130"/>
      <c r="G7" s="130"/>
    </row>
    <row r="8" spans="1:7" s="1" customFormat="1" ht="12.75">
      <c r="A8" s="161"/>
      <c r="B8" s="161"/>
      <c r="C8" s="133" t="s">
        <v>38</v>
      </c>
      <c r="D8" s="134"/>
      <c r="E8" s="133" t="s">
        <v>476</v>
      </c>
      <c r="F8" s="134"/>
      <c r="G8" s="134"/>
    </row>
    <row r="9" spans="1:7" s="136" customFormat="1" ht="12.75">
      <c r="A9" s="176"/>
      <c r="B9" s="177"/>
      <c r="C9" s="139" t="s">
        <v>494</v>
      </c>
      <c r="D9" s="139"/>
      <c r="E9" s="160" t="s">
        <v>279</v>
      </c>
      <c r="F9" s="160"/>
      <c r="G9" s="160" t="s">
        <v>39</v>
      </c>
    </row>
    <row r="10" spans="1:7" s="136" customFormat="1" ht="12.75">
      <c r="A10" s="176"/>
      <c r="B10" s="176"/>
      <c r="C10" s="144" t="s">
        <v>40</v>
      </c>
      <c r="D10" s="144"/>
      <c r="E10" s="144" t="s">
        <v>40</v>
      </c>
      <c r="F10" s="144"/>
      <c r="G10" s="144" t="s">
        <v>40</v>
      </c>
    </row>
    <row r="11" spans="1:7" s="136" customFormat="1" ht="12.75">
      <c r="A11" s="176"/>
      <c r="B11" s="176"/>
      <c r="C11" s="144"/>
      <c r="D11" s="144"/>
      <c r="E11" s="144"/>
      <c r="F11" s="144"/>
      <c r="G11" s="144"/>
    </row>
    <row r="12" spans="1:7" ht="12.75">
      <c r="A12" s="152"/>
      <c r="B12" s="149" t="s">
        <v>17</v>
      </c>
      <c r="C12" s="146">
        <v>892468.3333333334</v>
      </c>
      <c r="E12" s="150">
        <v>730906.8333333333</v>
      </c>
      <c r="F12" s="147"/>
      <c r="G12" s="146">
        <f>C12-E12</f>
        <v>161561.50000000012</v>
      </c>
    </row>
    <row r="13" spans="1:7" ht="12.75">
      <c r="A13" s="152"/>
      <c r="B13" s="149" t="s">
        <v>43</v>
      </c>
      <c r="C13" s="146">
        <v>15000</v>
      </c>
      <c r="E13" s="150">
        <v>6513.44</v>
      </c>
      <c r="F13" s="147"/>
      <c r="G13" s="146">
        <f>C13-E13</f>
        <v>8486.560000000001</v>
      </c>
    </row>
    <row r="14" spans="1:7" ht="12.75">
      <c r="A14" s="152"/>
      <c r="B14" s="149" t="s">
        <v>18</v>
      </c>
      <c r="C14" s="146">
        <v>114235.94666666667</v>
      </c>
      <c r="E14" s="150">
        <f>E12*12.8%</f>
        <v>93556.07466666665</v>
      </c>
      <c r="F14" s="147"/>
      <c r="G14" s="146">
        <f>C14-E14</f>
        <v>20679.872000000018</v>
      </c>
    </row>
    <row r="15" spans="1:7" ht="12.75">
      <c r="A15" s="152"/>
      <c r="B15" s="149" t="s">
        <v>19</v>
      </c>
      <c r="C15" s="146">
        <v>55362.46166666667</v>
      </c>
      <c r="E15" s="150">
        <v>37517.445</v>
      </c>
      <c r="F15" s="147"/>
      <c r="G15" s="146">
        <f>C15-E15</f>
        <v>17845.01666666667</v>
      </c>
    </row>
    <row r="16" spans="1:7" ht="12.75">
      <c r="A16" s="152"/>
      <c r="B16" s="149" t="s">
        <v>46</v>
      </c>
      <c r="C16" s="146">
        <v>26600</v>
      </c>
      <c r="E16" s="150">
        <v>45781</v>
      </c>
      <c r="F16" s="147"/>
      <c r="G16" s="146">
        <f>C16-E16</f>
        <v>-19181</v>
      </c>
    </row>
    <row r="17" spans="1:7" ht="12.75">
      <c r="A17" s="152"/>
      <c r="B17" s="161" t="s">
        <v>42</v>
      </c>
      <c r="C17" s="153">
        <f>SUM(C12:C16)</f>
        <v>1103666.7416666667</v>
      </c>
      <c r="D17" s="153"/>
      <c r="E17" s="123">
        <f>SUM(E12:E16)</f>
        <v>914274.7929999998</v>
      </c>
      <c r="F17" s="154"/>
      <c r="G17" s="153">
        <f>SUM(G12:G16)</f>
        <v>189391.9486666668</v>
      </c>
    </row>
    <row r="18" spans="1:7" ht="12.75">
      <c r="A18" s="152"/>
      <c r="E18" s="124"/>
      <c r="F18" s="124"/>
      <c r="G18" s="121"/>
    </row>
    <row r="19" spans="1:7" ht="12.75">
      <c r="A19" s="152"/>
      <c r="B19" s="149" t="s">
        <v>49</v>
      </c>
      <c r="C19" s="146">
        <v>41400</v>
      </c>
      <c r="E19" s="151">
        <v>38252</v>
      </c>
      <c r="F19" s="147"/>
      <c r="G19" s="146">
        <f>C19-E19</f>
        <v>3148</v>
      </c>
    </row>
    <row r="20" spans="1:7" ht="12.75">
      <c r="A20" s="152"/>
      <c r="B20" s="149" t="s">
        <v>50</v>
      </c>
      <c r="C20" s="146">
        <v>7245</v>
      </c>
      <c r="E20" s="151">
        <v>10145</v>
      </c>
      <c r="F20" s="147"/>
      <c r="G20" s="146">
        <f>C20-E20</f>
        <v>-2900</v>
      </c>
    </row>
    <row r="21" spans="1:7" ht="12.75">
      <c r="A21" s="152"/>
      <c r="B21" s="149" t="s">
        <v>95</v>
      </c>
      <c r="C21" s="146">
        <v>0</v>
      </c>
      <c r="E21" s="151">
        <v>2538</v>
      </c>
      <c r="F21" s="147"/>
      <c r="G21" s="146">
        <f>C21-E21</f>
        <v>-2538</v>
      </c>
    </row>
    <row r="22" spans="1:7" ht="12.75">
      <c r="A22" s="152"/>
      <c r="B22" s="161" t="s">
        <v>14</v>
      </c>
      <c r="C22" s="153">
        <f>SUM(C19:C21)</f>
        <v>48645</v>
      </c>
      <c r="D22" s="153"/>
      <c r="E22" s="123">
        <f>SUM(E19:E21)</f>
        <v>50935</v>
      </c>
      <c r="F22" s="154"/>
      <c r="G22" s="153">
        <f>SUM(G19:G21)</f>
        <v>-2290</v>
      </c>
    </row>
    <row r="23" spans="1:7" ht="12.75">
      <c r="A23" s="152"/>
      <c r="E23" s="147"/>
      <c r="F23" s="147"/>
      <c r="G23" s="148"/>
    </row>
    <row r="24" spans="1:7" ht="12.75" hidden="1">
      <c r="A24" s="152"/>
      <c r="B24" s="149" t="s">
        <v>74</v>
      </c>
      <c r="C24" s="146">
        <f>0</f>
        <v>0</v>
      </c>
      <c r="E24" s="151">
        <v>0</v>
      </c>
      <c r="F24" s="147"/>
      <c r="G24" s="146">
        <f>C24-E24</f>
        <v>0</v>
      </c>
    </row>
    <row r="25" spans="1:7" ht="12.75" hidden="1">
      <c r="A25" s="152"/>
      <c r="B25" s="149" t="s">
        <v>524</v>
      </c>
      <c r="C25" s="146">
        <v>0</v>
      </c>
      <c r="E25" s="151">
        <v>0</v>
      </c>
      <c r="F25" s="147"/>
      <c r="G25" s="146">
        <f>C25-E25</f>
        <v>0</v>
      </c>
    </row>
    <row r="26" spans="1:7" ht="12.75" hidden="1">
      <c r="A26" s="152"/>
      <c r="B26" s="149" t="s">
        <v>525</v>
      </c>
      <c r="C26" s="153">
        <f>SUM(C24:C25)</f>
        <v>0</v>
      </c>
      <c r="D26" s="153"/>
      <c r="E26" s="123">
        <f>SUM(E24:E25)</f>
        <v>0</v>
      </c>
      <c r="F26" s="154"/>
      <c r="G26" s="166">
        <f>SUM(G24:G25)</f>
        <v>0</v>
      </c>
    </row>
    <row r="27" spans="1:7" ht="12.75" hidden="1">
      <c r="A27" s="152"/>
      <c r="E27" s="147"/>
      <c r="F27" s="147"/>
      <c r="G27" s="148"/>
    </row>
    <row r="28" spans="1:7" ht="12.75">
      <c r="A28" s="145"/>
      <c r="B28" s="2" t="s">
        <v>61</v>
      </c>
      <c r="C28" s="146">
        <v>7500</v>
      </c>
      <c r="E28" s="151">
        <v>1476</v>
      </c>
      <c r="F28" s="147"/>
      <c r="G28" s="146">
        <f>C28-E28</f>
        <v>6024</v>
      </c>
    </row>
    <row r="29" spans="1:7" ht="12.75">
      <c r="A29" s="145"/>
      <c r="B29" s="149" t="s">
        <v>137</v>
      </c>
      <c r="C29" s="146">
        <v>55600</v>
      </c>
      <c r="E29" s="151">
        <v>35310</v>
      </c>
      <c r="F29" s="147"/>
      <c r="G29" s="146">
        <f>C29-E29</f>
        <v>20290</v>
      </c>
    </row>
    <row r="30" spans="1:7" ht="12.75">
      <c r="A30" s="152"/>
      <c r="B30" s="161" t="s">
        <v>26</v>
      </c>
      <c r="C30" s="153">
        <f>SUM(C28:C29)</f>
        <v>63100</v>
      </c>
      <c r="D30" s="153"/>
      <c r="E30" s="123">
        <f>SUM(E28:E29)</f>
        <v>36786</v>
      </c>
      <c r="F30" s="153"/>
      <c r="G30" s="153">
        <f>SUM(G28:G29)</f>
        <v>26314</v>
      </c>
    </row>
    <row r="31" spans="1:7" ht="12.75">
      <c r="A31" s="152"/>
      <c r="E31" s="147"/>
      <c r="F31" s="147"/>
      <c r="G31" s="148"/>
    </row>
    <row r="32" spans="1:7" ht="12.75">
      <c r="A32" s="152"/>
      <c r="B32" s="149" t="s">
        <v>140</v>
      </c>
      <c r="C32" s="146">
        <v>87750</v>
      </c>
      <c r="E32" s="151">
        <v>54346</v>
      </c>
      <c r="F32" s="147"/>
      <c r="G32" s="146">
        <f>C32-E32</f>
        <v>33404</v>
      </c>
    </row>
    <row r="33" spans="1:7" ht="12.75">
      <c r="A33" s="152"/>
      <c r="B33" s="149" t="s">
        <v>224</v>
      </c>
      <c r="C33" s="146">
        <v>84200</v>
      </c>
      <c r="E33" s="151">
        <v>193205</v>
      </c>
      <c r="F33" s="147"/>
      <c r="G33" s="146">
        <f>C33-E33</f>
        <v>-109005</v>
      </c>
    </row>
    <row r="34" spans="1:7" ht="12.75">
      <c r="A34" s="152"/>
      <c r="B34" s="149" t="s">
        <v>421</v>
      </c>
      <c r="C34" s="146">
        <v>7500</v>
      </c>
      <c r="E34" s="151">
        <v>500</v>
      </c>
      <c r="F34" s="147"/>
      <c r="G34" s="146">
        <f>C34-E34</f>
        <v>7000</v>
      </c>
    </row>
    <row r="35" spans="1:7" ht="12.75">
      <c r="A35" s="152"/>
      <c r="B35" s="149" t="s">
        <v>259</v>
      </c>
      <c r="C35" s="146">
        <v>3390</v>
      </c>
      <c r="E35" s="151">
        <v>811</v>
      </c>
      <c r="F35" s="147"/>
      <c r="G35" s="146">
        <f>C35-E35</f>
        <v>2579</v>
      </c>
    </row>
    <row r="36" spans="1:7" ht="12.75">
      <c r="A36" s="152"/>
      <c r="B36" s="161" t="s">
        <v>29</v>
      </c>
      <c r="C36" s="153">
        <f>SUM(C32:C35)</f>
        <v>182840</v>
      </c>
      <c r="D36" s="153"/>
      <c r="E36" s="123">
        <f>SUM(E32:E35)</f>
        <v>248862</v>
      </c>
      <c r="F36" s="154"/>
      <c r="G36" s="153">
        <f>SUM(G32:G35)</f>
        <v>-66022</v>
      </c>
    </row>
    <row r="37" spans="1:7" ht="12.75">
      <c r="A37" s="152"/>
      <c r="B37" s="161"/>
      <c r="C37" s="155"/>
      <c r="D37" s="155"/>
      <c r="E37" s="124"/>
      <c r="F37" s="124"/>
      <c r="G37" s="121"/>
    </row>
    <row r="38" spans="1:7" ht="12.75">
      <c r="A38" s="152"/>
      <c r="B38" s="149" t="s">
        <v>523</v>
      </c>
      <c r="C38" s="155">
        <v>1100000</v>
      </c>
      <c r="D38" s="155"/>
      <c r="E38" s="150">
        <v>824004</v>
      </c>
      <c r="F38" s="124"/>
      <c r="G38" s="146">
        <f>C38-E38</f>
        <v>275996</v>
      </c>
    </row>
    <row r="39" spans="1:7" ht="12.75">
      <c r="A39" s="177"/>
      <c r="B39" s="177" t="s">
        <v>212</v>
      </c>
      <c r="C39" s="146">
        <v>28000</v>
      </c>
      <c r="E39" s="150">
        <v>19830</v>
      </c>
      <c r="F39" s="147"/>
      <c r="G39" s="146">
        <f>C39-E39</f>
        <v>8170</v>
      </c>
    </row>
    <row r="40" spans="1:7" ht="12.75">
      <c r="A40" s="177"/>
      <c r="B40" s="177" t="s">
        <v>422</v>
      </c>
      <c r="C40" s="148">
        <v>67000</v>
      </c>
      <c r="E40" s="150">
        <v>41077</v>
      </c>
      <c r="F40" s="147"/>
      <c r="G40" s="146">
        <f>C40-E40</f>
        <v>25923</v>
      </c>
    </row>
    <row r="41" spans="1:8" ht="12.75">
      <c r="A41" s="152"/>
      <c r="B41" s="161" t="s">
        <v>168</v>
      </c>
      <c r="C41" s="153">
        <f>SUM(C38:C40)</f>
        <v>1195000</v>
      </c>
      <c r="D41" s="153"/>
      <c r="E41" s="123">
        <f>SUM(E38:E40)</f>
        <v>884911</v>
      </c>
      <c r="F41" s="154"/>
      <c r="G41" s="153">
        <f>SUM(G38:G40)</f>
        <v>310089</v>
      </c>
      <c r="H41" s="146"/>
    </row>
    <row r="42" spans="1:7" ht="12.75">
      <c r="A42" s="152"/>
      <c r="E42" s="147"/>
      <c r="F42" s="147"/>
      <c r="G42" s="148"/>
    </row>
    <row r="43" spans="1:7" ht="12.75">
      <c r="A43" s="152"/>
      <c r="B43" s="149" t="s">
        <v>172</v>
      </c>
      <c r="C43" s="146">
        <v>8088</v>
      </c>
      <c r="E43" s="151">
        <v>7752</v>
      </c>
      <c r="F43" s="147"/>
      <c r="G43" s="146">
        <f>C43-E43</f>
        <v>336</v>
      </c>
    </row>
    <row r="44" spans="1:7" ht="12.75">
      <c r="A44" s="152"/>
      <c r="B44" s="149" t="s">
        <v>173</v>
      </c>
      <c r="C44" s="146">
        <v>4000</v>
      </c>
      <c r="E44" s="151">
        <v>0</v>
      </c>
      <c r="F44" s="147"/>
      <c r="G44" s="146">
        <f>C44-E44</f>
        <v>4000</v>
      </c>
    </row>
    <row r="45" spans="1:7" ht="12.75">
      <c r="A45" s="152"/>
      <c r="B45" s="161" t="s">
        <v>132</v>
      </c>
      <c r="C45" s="153">
        <f>SUM(C43:C44)</f>
        <v>12088</v>
      </c>
      <c r="D45" s="153"/>
      <c r="E45" s="123">
        <f>SUM(E43:E44)</f>
        <v>7752</v>
      </c>
      <c r="F45" s="154"/>
      <c r="G45" s="153">
        <f>SUM(G43:G44)</f>
        <v>4336</v>
      </c>
    </row>
    <row r="46" spans="1:7" ht="12.75">
      <c r="A46" s="152"/>
      <c r="B46" s="161"/>
      <c r="C46" s="155"/>
      <c r="D46" s="155"/>
      <c r="E46" s="124"/>
      <c r="F46" s="124"/>
      <c r="G46" s="155"/>
    </row>
    <row r="47" spans="1:7" ht="12.75">
      <c r="A47" s="152"/>
      <c r="B47" s="2" t="s">
        <v>478</v>
      </c>
      <c r="C47" s="155">
        <v>35000</v>
      </c>
      <c r="D47" s="155"/>
      <c r="E47" s="150">
        <v>12089.3</v>
      </c>
      <c r="F47" s="124"/>
      <c r="G47" s="146">
        <f>C47-E47</f>
        <v>22910.7</v>
      </c>
    </row>
    <row r="48" spans="1:7" ht="12.75">
      <c r="A48" s="152"/>
      <c r="B48" s="1" t="s">
        <v>269</v>
      </c>
      <c r="C48" s="153">
        <f>SUM(C47)</f>
        <v>35000</v>
      </c>
      <c r="D48" s="153"/>
      <c r="E48" s="123">
        <f>SUM(E47)</f>
        <v>12089.3</v>
      </c>
      <c r="F48" s="153"/>
      <c r="G48" s="153">
        <f>SUM(G47)</f>
        <v>22910.7</v>
      </c>
    </row>
    <row r="49" spans="1:7" ht="12.75">
      <c r="A49" s="152"/>
      <c r="B49" s="161"/>
      <c r="C49" s="155"/>
      <c r="D49" s="155"/>
      <c r="E49" s="124"/>
      <c r="F49" s="124"/>
      <c r="G49" s="121"/>
    </row>
    <row r="50" spans="1:7" ht="12.75">
      <c r="A50" s="152"/>
      <c r="B50" s="149" t="s">
        <v>417</v>
      </c>
      <c r="C50" s="146">
        <v>1200</v>
      </c>
      <c r="E50" s="151">
        <v>642</v>
      </c>
      <c r="F50" s="147"/>
      <c r="G50" s="146">
        <f>C50-E50</f>
        <v>558</v>
      </c>
    </row>
    <row r="51" spans="1:7" ht="12.75">
      <c r="A51" s="152"/>
      <c r="B51" s="149" t="s">
        <v>451</v>
      </c>
      <c r="C51" s="146">
        <v>3000</v>
      </c>
      <c r="E51" s="151">
        <v>1197</v>
      </c>
      <c r="F51" s="147"/>
      <c r="G51" s="146">
        <f aca="true" t="shared" si="0" ref="G51:G58">C51-E51</f>
        <v>1803</v>
      </c>
    </row>
    <row r="52" spans="1:7" ht="12.75">
      <c r="A52" s="152"/>
      <c r="B52" s="149" t="s">
        <v>22</v>
      </c>
      <c r="C52" s="146">
        <v>0</v>
      </c>
      <c r="E52" s="151">
        <v>4033</v>
      </c>
      <c r="F52" s="147"/>
      <c r="G52" s="146">
        <f t="shared" si="0"/>
        <v>-4033</v>
      </c>
    </row>
    <row r="53" spans="1:7" ht="12.75">
      <c r="A53" s="152"/>
      <c r="B53" s="149" t="s">
        <v>139</v>
      </c>
      <c r="C53" s="146">
        <v>33000</v>
      </c>
      <c r="E53" s="151">
        <v>31500</v>
      </c>
      <c r="F53" s="147"/>
      <c r="G53" s="146">
        <f t="shared" si="0"/>
        <v>1500</v>
      </c>
    </row>
    <row r="54" spans="1:7" ht="12.75">
      <c r="A54" s="152"/>
      <c r="B54" s="149" t="s">
        <v>81</v>
      </c>
      <c r="C54" s="146">
        <v>2273950</v>
      </c>
      <c r="E54" s="151">
        <v>1812636</v>
      </c>
      <c r="F54" s="147"/>
      <c r="G54" s="146">
        <f t="shared" si="0"/>
        <v>461314</v>
      </c>
    </row>
    <row r="55" spans="1:7" ht="12.75">
      <c r="A55" s="152"/>
      <c r="B55" s="149" t="s">
        <v>185</v>
      </c>
      <c r="C55" s="146">
        <v>180000</v>
      </c>
      <c r="E55" s="151">
        <v>220247</v>
      </c>
      <c r="F55" s="147"/>
      <c r="G55" s="146">
        <f t="shared" si="0"/>
        <v>-40247</v>
      </c>
    </row>
    <row r="56" spans="1:7" ht="12.75">
      <c r="A56" s="152"/>
      <c r="B56" s="149" t="s">
        <v>438</v>
      </c>
      <c r="C56" s="146">
        <v>80000</v>
      </c>
      <c r="E56" s="151">
        <v>62855</v>
      </c>
      <c r="F56" s="147"/>
      <c r="G56" s="146">
        <f t="shared" si="0"/>
        <v>17145</v>
      </c>
    </row>
    <row r="57" spans="1:7" ht="12.75">
      <c r="A57" s="152"/>
      <c r="B57" s="149" t="s">
        <v>225</v>
      </c>
      <c r="C57" s="146">
        <v>51316.75</v>
      </c>
      <c r="E57" s="151">
        <v>41573</v>
      </c>
      <c r="F57" s="147"/>
      <c r="G57" s="146">
        <f t="shared" si="0"/>
        <v>9743.75</v>
      </c>
    </row>
    <row r="58" spans="1:7" ht="13.5" customHeight="1">
      <c r="A58" s="152"/>
      <c r="B58" s="149" t="s">
        <v>179</v>
      </c>
      <c r="C58" s="146">
        <v>318793</v>
      </c>
      <c r="E58" s="151">
        <v>227367</v>
      </c>
      <c r="F58" s="147"/>
      <c r="G58" s="146">
        <f t="shared" si="0"/>
        <v>91426</v>
      </c>
    </row>
    <row r="59" spans="1:7" ht="12.75">
      <c r="A59" s="152"/>
      <c r="B59" s="161" t="s">
        <v>16</v>
      </c>
      <c r="C59" s="153">
        <f>SUM(C50:C58)</f>
        <v>2941259.75</v>
      </c>
      <c r="D59" s="153"/>
      <c r="E59" s="123">
        <f>SUM(E50:E58)</f>
        <v>2402050</v>
      </c>
      <c r="F59" s="154"/>
      <c r="G59" s="153">
        <f>SUM(G50:G58)</f>
        <v>539209.75</v>
      </c>
    </row>
    <row r="60" spans="1:7" ht="12.75">
      <c r="A60" s="152"/>
      <c r="C60" s="156"/>
      <c r="D60" s="156"/>
      <c r="E60" s="157"/>
      <c r="F60" s="157"/>
      <c r="G60" s="158"/>
    </row>
    <row r="61" spans="2:7" ht="12.75">
      <c r="B61" s="161" t="s">
        <v>88</v>
      </c>
      <c r="C61" s="156">
        <f>C17+C22+C59+C41+C45+C36+C48+C30+C26</f>
        <v>5581599.491666667</v>
      </c>
      <c r="D61" s="156"/>
      <c r="E61" s="159">
        <f>E17+E22+E30+E36+E41+E45+E48+E59</f>
        <v>4557660.092999999</v>
      </c>
      <c r="F61" s="157"/>
      <c r="G61" s="156">
        <f>C61-E61</f>
        <v>1023939.3986666678</v>
      </c>
    </row>
    <row r="63" spans="3:5" ht="12.75">
      <c r="C63" s="146">
        <v>-14207</v>
      </c>
      <c r="E63" s="127">
        <v>0.4599999999627471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6" r:id="rId1"/>
  <headerFooter alignWithMargins="0">
    <oddHeader>&amp;C&amp;F</oddHeader>
    <oddFooter>&amp;CPage &amp;P of &amp;N</oddFooter>
  </headerFooter>
  <rowBreaks count="1" manualBreakCount="1">
    <brk id="62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57"/>
  </sheetPr>
  <dimension ref="A1:G49"/>
  <sheetViews>
    <sheetView zoomScale="95" zoomScaleNormal="95" workbookViewId="0" topLeftCell="A2">
      <selection activeCell="N48" sqref="N48"/>
    </sheetView>
  </sheetViews>
  <sheetFormatPr defaultColWidth="9.140625" defaultRowHeight="12.75"/>
  <cols>
    <col min="1" max="1" width="17.8515625" style="2" customWidth="1"/>
    <col min="2" max="2" width="29.7109375" style="2" bestFit="1" customWidth="1"/>
    <col min="3" max="3" width="10.57421875" style="146" bestFit="1" customWidth="1"/>
    <col min="4" max="4" width="5.140625" style="146" customWidth="1"/>
    <col min="5" max="5" width="12.28125" style="127" bestFit="1" customWidth="1"/>
    <col min="6" max="6" width="4.851562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92</v>
      </c>
    </row>
    <row r="5" spans="1:7" s="1" customFormat="1" ht="12.75">
      <c r="A5" s="129" t="s">
        <v>36</v>
      </c>
      <c r="B5" s="128" t="s">
        <v>9</v>
      </c>
      <c r="G5" s="127"/>
    </row>
    <row r="6" spans="1:7" s="1" customFormat="1" ht="12.75">
      <c r="A6" s="128" t="s">
        <v>37</v>
      </c>
      <c r="B6" s="128"/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7" s="1" customFormat="1" ht="12.75">
      <c r="C8" s="133" t="s">
        <v>38</v>
      </c>
      <c r="D8" s="134"/>
      <c r="E8" s="133" t="s">
        <v>476</v>
      </c>
      <c r="F8" s="134"/>
      <c r="G8" s="134"/>
    </row>
    <row r="9" spans="2:7" s="136" customFormat="1" ht="12.75">
      <c r="B9" s="137"/>
      <c r="C9" s="139" t="s">
        <v>494</v>
      </c>
      <c r="D9" s="139"/>
      <c r="E9" s="160" t="s">
        <v>279</v>
      </c>
      <c r="F9" s="160"/>
      <c r="G9" s="160" t="s">
        <v>39</v>
      </c>
    </row>
    <row r="10" spans="3:7" s="136" customFormat="1" ht="12.75">
      <c r="C10" s="144" t="s">
        <v>40</v>
      </c>
      <c r="D10" s="144"/>
      <c r="E10" s="144" t="s">
        <v>527</v>
      </c>
      <c r="F10" s="144"/>
      <c r="G10" s="144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7" ht="12.75">
      <c r="A12" s="145"/>
      <c r="B12" s="2" t="s">
        <v>17</v>
      </c>
      <c r="C12" s="146">
        <v>125265</v>
      </c>
      <c r="E12" s="331">
        <v>99870.41666666666</v>
      </c>
      <c r="F12" s="124"/>
      <c r="G12" s="146">
        <f>C12-E12</f>
        <v>25394.583333333343</v>
      </c>
    </row>
    <row r="13" spans="1:7" ht="12.75">
      <c r="A13" s="145"/>
      <c r="B13" s="2" t="s">
        <v>43</v>
      </c>
      <c r="C13" s="146">
        <v>500</v>
      </c>
      <c r="E13" s="331">
        <v>500</v>
      </c>
      <c r="F13" s="124"/>
      <c r="G13" s="146">
        <f aca="true" t="shared" si="0" ref="G13:G18">C13-E13</f>
        <v>0</v>
      </c>
    </row>
    <row r="14" spans="1:7" ht="12.75">
      <c r="A14" s="145"/>
      <c r="B14" s="2" t="s">
        <v>18</v>
      </c>
      <c r="C14" s="146">
        <v>16033.92</v>
      </c>
      <c r="E14" s="331">
        <f>E12*12.8%</f>
        <v>12783.413333333332</v>
      </c>
      <c r="F14" s="124"/>
      <c r="G14" s="146">
        <f t="shared" si="0"/>
        <v>3250.506666666668</v>
      </c>
    </row>
    <row r="15" spans="1:7" ht="12.75">
      <c r="A15" s="145"/>
      <c r="B15" s="2" t="s">
        <v>19</v>
      </c>
      <c r="C15" s="146">
        <v>5018.23</v>
      </c>
      <c r="E15" s="331">
        <v>16044.83</v>
      </c>
      <c r="F15" s="124"/>
      <c r="G15" s="146">
        <f t="shared" si="0"/>
        <v>-11026.600000000002</v>
      </c>
    </row>
    <row r="16" spans="1:7" ht="12.75">
      <c r="A16" s="145"/>
      <c r="B16" s="2" t="s">
        <v>45</v>
      </c>
      <c r="C16" s="146">
        <v>100000</v>
      </c>
      <c r="E16" s="331">
        <f>160000</f>
        <v>160000</v>
      </c>
      <c r="F16" s="124"/>
      <c r="G16" s="146">
        <f t="shared" si="0"/>
        <v>-60000</v>
      </c>
    </row>
    <row r="17" spans="1:7" ht="12.75">
      <c r="A17" s="145"/>
      <c r="B17" s="2" t="s">
        <v>21</v>
      </c>
      <c r="C17" s="146">
        <v>2000</v>
      </c>
      <c r="E17" s="331">
        <v>2500</v>
      </c>
      <c r="F17" s="124"/>
      <c r="G17" s="146">
        <f t="shared" si="0"/>
        <v>-500</v>
      </c>
    </row>
    <row r="18" spans="1:7" ht="12.75">
      <c r="A18" s="145"/>
      <c r="B18" s="2" t="s">
        <v>439</v>
      </c>
      <c r="C18" s="146">
        <v>15000</v>
      </c>
      <c r="E18" s="331">
        <v>15000</v>
      </c>
      <c r="F18" s="124"/>
      <c r="G18" s="146">
        <f t="shared" si="0"/>
        <v>0</v>
      </c>
    </row>
    <row r="19" spans="1:7" ht="12.75">
      <c r="A19" s="145"/>
      <c r="B19" s="1" t="s">
        <v>42</v>
      </c>
      <c r="C19" s="153">
        <f>SUM(C12:C18)</f>
        <v>263817.15</v>
      </c>
      <c r="D19" s="153"/>
      <c r="E19" s="123">
        <f>SUM(E12:E18)</f>
        <v>306698.66</v>
      </c>
      <c r="F19" s="154"/>
      <c r="G19" s="153">
        <f>SUM(G12:G18)</f>
        <v>-42881.509999999995</v>
      </c>
    </row>
    <row r="20" spans="1:7" ht="12.75">
      <c r="A20" s="145"/>
      <c r="C20" s="148"/>
      <c r="D20" s="148"/>
      <c r="E20" s="124"/>
      <c r="F20" s="124"/>
      <c r="G20" s="121"/>
    </row>
    <row r="21" spans="1:7" ht="12.75">
      <c r="A21" s="145"/>
      <c r="B21" s="2" t="s">
        <v>49</v>
      </c>
      <c r="C21" s="146">
        <v>1600</v>
      </c>
      <c r="E21" s="150">
        <v>1600</v>
      </c>
      <c r="F21" s="124"/>
      <c r="G21" s="146">
        <f>C21-E21</f>
        <v>0</v>
      </c>
    </row>
    <row r="22" spans="1:7" ht="12.75">
      <c r="A22" s="145"/>
      <c r="B22" s="2" t="s">
        <v>50</v>
      </c>
      <c r="C22" s="146">
        <v>1600</v>
      </c>
      <c r="E22" s="150">
        <v>2600</v>
      </c>
      <c r="F22" s="124"/>
      <c r="G22" s="146">
        <f>C22-E22</f>
        <v>-1000</v>
      </c>
    </row>
    <row r="23" spans="1:7" ht="12.75" hidden="1">
      <c r="A23" s="145"/>
      <c r="B23" s="2" t="s">
        <v>51</v>
      </c>
      <c r="C23" s="146">
        <f>0</f>
        <v>0</v>
      </c>
      <c r="E23" s="150">
        <v>0</v>
      </c>
      <c r="F23" s="124"/>
      <c r="G23" s="146">
        <f>C23-E23</f>
        <v>0</v>
      </c>
    </row>
    <row r="24" spans="1:7" ht="12.75">
      <c r="A24" s="145"/>
      <c r="B24" s="2" t="s">
        <v>95</v>
      </c>
      <c r="C24" s="146">
        <v>0</v>
      </c>
      <c r="E24" s="150">
        <v>0</v>
      </c>
      <c r="F24" s="124"/>
      <c r="G24" s="146">
        <f>C24-E24</f>
        <v>0</v>
      </c>
    </row>
    <row r="25" spans="1:7" ht="12.75">
      <c r="A25" s="145"/>
      <c r="B25" s="1" t="s">
        <v>14</v>
      </c>
      <c r="C25" s="153">
        <f>SUM(C21:C24)</f>
        <v>3200</v>
      </c>
      <c r="D25" s="153"/>
      <c r="E25" s="123">
        <f>SUM(E21:E24)</f>
        <v>4200</v>
      </c>
      <c r="F25" s="154"/>
      <c r="G25" s="153">
        <f>SUM(G21:G24)</f>
        <v>-1000</v>
      </c>
    </row>
    <row r="26" spans="1:7" ht="12.75">
      <c r="A26" s="145"/>
      <c r="B26" s="1"/>
      <c r="C26" s="155"/>
      <c r="D26" s="155"/>
      <c r="E26" s="124"/>
      <c r="F26" s="124"/>
      <c r="G26" s="121"/>
    </row>
    <row r="27" spans="1:7" ht="12.75">
      <c r="A27" s="145"/>
      <c r="B27" s="2" t="s">
        <v>140</v>
      </c>
      <c r="C27" s="146">
        <v>800</v>
      </c>
      <c r="E27" s="150">
        <v>2200</v>
      </c>
      <c r="F27" s="124"/>
      <c r="G27" s="146">
        <f>C27-E27</f>
        <v>-1400</v>
      </c>
    </row>
    <row r="28" spans="1:7" ht="12.75">
      <c r="A28" s="145"/>
      <c r="B28" s="2" t="s">
        <v>528</v>
      </c>
      <c r="C28" s="146">
        <v>200</v>
      </c>
      <c r="E28" s="150">
        <v>0</v>
      </c>
      <c r="F28" s="124"/>
      <c r="G28" s="146">
        <f>C28-E28</f>
        <v>200</v>
      </c>
    </row>
    <row r="29" spans="1:7" ht="12.75">
      <c r="A29" s="152"/>
      <c r="B29" s="2" t="s">
        <v>224</v>
      </c>
      <c r="C29" s="146">
        <v>100</v>
      </c>
      <c r="E29" s="150">
        <v>0</v>
      </c>
      <c r="F29" s="124"/>
      <c r="G29" s="146">
        <f>C29-E29</f>
        <v>100</v>
      </c>
    </row>
    <row r="30" spans="1:7" ht="12.75">
      <c r="A30" s="152"/>
      <c r="B30" s="2" t="s">
        <v>66</v>
      </c>
      <c r="C30" s="146">
        <v>500</v>
      </c>
      <c r="E30" s="150">
        <v>640</v>
      </c>
      <c r="F30" s="124"/>
      <c r="G30" s="146">
        <f>C30-E30</f>
        <v>-140</v>
      </c>
    </row>
    <row r="31" spans="1:7" ht="12.75">
      <c r="A31" s="152"/>
      <c r="B31" s="2" t="s">
        <v>529</v>
      </c>
      <c r="C31" s="146">
        <v>3000</v>
      </c>
      <c r="E31" s="150">
        <v>0</v>
      </c>
      <c r="F31" s="124"/>
      <c r="G31" s="146">
        <f>C31-E31</f>
        <v>3000</v>
      </c>
    </row>
    <row r="32" spans="1:7" ht="12.75">
      <c r="A32" s="145"/>
      <c r="B32" s="1" t="s">
        <v>29</v>
      </c>
      <c r="C32" s="153">
        <f>SUM(C27:C31)</f>
        <v>4600</v>
      </c>
      <c r="D32" s="153"/>
      <c r="E32" s="123">
        <f>SUM(E27:E31)</f>
        <v>2840</v>
      </c>
      <c r="F32" s="153"/>
      <c r="G32" s="153">
        <f>SUM(G27:G31)</f>
        <v>1760</v>
      </c>
    </row>
    <row r="33" spans="1:7" ht="12.75">
      <c r="A33" s="145"/>
      <c r="B33" s="1"/>
      <c r="C33" s="155"/>
      <c r="D33" s="155"/>
      <c r="E33" s="170"/>
      <c r="F33" s="155"/>
      <c r="G33" s="155"/>
    </row>
    <row r="34" spans="1:7" ht="12.75">
      <c r="A34" s="145"/>
      <c r="B34" s="2" t="s">
        <v>71</v>
      </c>
      <c r="C34" s="155">
        <v>8000</v>
      </c>
      <c r="D34" s="155"/>
      <c r="E34" s="150">
        <v>8000</v>
      </c>
      <c r="F34" s="155"/>
      <c r="G34" s="146">
        <f>C34-E34</f>
        <v>0</v>
      </c>
    </row>
    <row r="35" spans="1:7" ht="12.75">
      <c r="A35" s="145"/>
      <c r="B35" s="1" t="s">
        <v>23</v>
      </c>
      <c r="C35" s="153">
        <f>SUM(C34)</f>
        <v>8000</v>
      </c>
      <c r="D35" s="153"/>
      <c r="E35" s="123">
        <f>SUM(E34)</f>
        <v>8000</v>
      </c>
      <c r="F35" s="153"/>
      <c r="G35" s="153">
        <f>SUM(G34)</f>
        <v>0</v>
      </c>
    </row>
    <row r="36" spans="1:7" ht="12.75">
      <c r="A36" s="145"/>
      <c r="B36" s="1"/>
      <c r="C36" s="155"/>
      <c r="D36" s="155"/>
      <c r="E36" s="170"/>
      <c r="F36" s="155"/>
      <c r="G36" s="155"/>
    </row>
    <row r="37" spans="1:7" ht="12.75">
      <c r="A37" s="145"/>
      <c r="B37" s="2" t="s">
        <v>417</v>
      </c>
      <c r="C37" s="146">
        <v>150</v>
      </c>
      <c r="E37" s="331">
        <v>150</v>
      </c>
      <c r="F37" s="124"/>
      <c r="G37" s="146">
        <f>C37-E37</f>
        <v>0</v>
      </c>
    </row>
    <row r="38" spans="1:7" ht="12.75">
      <c r="A38" s="145"/>
      <c r="B38" s="2" t="s">
        <v>84</v>
      </c>
      <c r="C38" s="146">
        <f>0</f>
        <v>0</v>
      </c>
      <c r="E38" s="331">
        <v>3500</v>
      </c>
      <c r="F38" s="124"/>
      <c r="G38" s="146">
        <f aca="true" t="shared" si="1" ref="G38:G44">C38-E38</f>
        <v>-3500</v>
      </c>
    </row>
    <row r="39" spans="1:7" ht="12.75">
      <c r="A39" s="145"/>
      <c r="B39" s="2" t="s">
        <v>30</v>
      </c>
      <c r="C39" s="146">
        <v>25000</v>
      </c>
      <c r="E39" s="331">
        <v>25000</v>
      </c>
      <c r="F39" s="124"/>
      <c r="G39" s="146">
        <f t="shared" si="1"/>
        <v>0</v>
      </c>
    </row>
    <row r="40" spans="1:7" ht="12.75">
      <c r="A40" s="145"/>
      <c r="B40" s="2" t="s">
        <v>83</v>
      </c>
      <c r="C40" s="146">
        <v>500</v>
      </c>
      <c r="E40" s="150">
        <v>1200</v>
      </c>
      <c r="F40" s="124"/>
      <c r="G40" s="146">
        <f t="shared" si="1"/>
        <v>-700</v>
      </c>
    </row>
    <row r="41" spans="1:7" ht="12.75">
      <c r="A41" s="145"/>
      <c r="B41" s="2" t="s">
        <v>82</v>
      </c>
      <c r="C41" s="146">
        <v>4750</v>
      </c>
      <c r="E41" s="150">
        <v>13000</v>
      </c>
      <c r="F41" s="124"/>
      <c r="G41" s="146">
        <f t="shared" si="1"/>
        <v>-8250</v>
      </c>
    </row>
    <row r="42" spans="1:7" ht="12.75">
      <c r="A42" s="145"/>
      <c r="B42" s="171" t="s">
        <v>440</v>
      </c>
      <c r="C42" s="146">
        <v>40000</v>
      </c>
      <c r="E42" s="150">
        <v>30000</v>
      </c>
      <c r="F42" s="124"/>
      <c r="G42" s="146">
        <f t="shared" si="1"/>
        <v>10000</v>
      </c>
    </row>
    <row r="43" spans="1:7" ht="12.75">
      <c r="A43" s="145"/>
      <c r="B43" s="2" t="s">
        <v>491</v>
      </c>
      <c r="C43" s="146">
        <v>7500</v>
      </c>
      <c r="E43" s="150">
        <v>7000</v>
      </c>
      <c r="F43" s="124"/>
      <c r="G43" s="146">
        <f t="shared" si="1"/>
        <v>500</v>
      </c>
    </row>
    <row r="44" spans="1:7" ht="12.75">
      <c r="A44" s="145"/>
      <c r="B44" s="2" t="s">
        <v>171</v>
      </c>
      <c r="C44" s="146">
        <v>10000</v>
      </c>
      <c r="E44" s="150">
        <v>9000</v>
      </c>
      <c r="F44" s="124"/>
      <c r="G44" s="146">
        <f t="shared" si="1"/>
        <v>1000</v>
      </c>
    </row>
    <row r="45" spans="1:7" ht="12.75">
      <c r="A45" s="145"/>
      <c r="B45" s="1" t="s">
        <v>16</v>
      </c>
      <c r="C45" s="153">
        <f>SUM(C37:C44)</f>
        <v>87900</v>
      </c>
      <c r="D45" s="153"/>
      <c r="E45" s="123">
        <f>SUM(E37:E44)</f>
        <v>88850</v>
      </c>
      <c r="F45" s="154"/>
      <c r="G45" s="153">
        <f>SUM(G37:G44)</f>
        <v>-950</v>
      </c>
    </row>
    <row r="46" spans="1:7" ht="12.75">
      <c r="A46" s="145"/>
      <c r="C46" s="156"/>
      <c r="D46" s="156"/>
      <c r="E46" s="157"/>
      <c r="F46" s="157"/>
      <c r="G46" s="158"/>
    </row>
    <row r="47" spans="2:7" ht="12.75">
      <c r="B47" s="1" t="s">
        <v>88</v>
      </c>
      <c r="C47" s="156">
        <f>C19+C25+C45+C32+C35</f>
        <v>367517.15</v>
      </c>
      <c r="D47" s="156"/>
      <c r="E47" s="159">
        <f>E19+E25+E32+E35+E45</f>
        <v>410588.66</v>
      </c>
      <c r="F47" s="157"/>
      <c r="G47" s="153">
        <f>C47-E47</f>
        <v>-43071.50999999995</v>
      </c>
    </row>
    <row r="49" spans="3:5" ht="12.75">
      <c r="C49" s="146">
        <v>0</v>
      </c>
      <c r="E49" s="127"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&amp;C&amp;F</oddHeader>
    <oddFooter>&amp;CPage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7"/>
  </sheetPr>
  <dimension ref="A1:G43"/>
  <sheetViews>
    <sheetView workbookViewId="0" topLeftCell="A2">
      <selection activeCell="E19" sqref="E19"/>
    </sheetView>
  </sheetViews>
  <sheetFormatPr defaultColWidth="9.140625" defaultRowHeight="12.75"/>
  <cols>
    <col min="1" max="1" width="20.7109375" style="149" customWidth="1"/>
    <col min="2" max="2" width="35.28125" style="149" customWidth="1"/>
    <col min="3" max="3" width="10.57421875" style="146" bestFit="1" customWidth="1"/>
    <col min="4" max="4" width="4.28125" style="146" customWidth="1"/>
    <col min="5" max="5" width="10.57421875" style="127" bestFit="1" customWidth="1"/>
    <col min="6" max="6" width="4.421875" style="127" customWidth="1"/>
    <col min="7" max="7" width="9.8515625" style="146" bestFit="1" customWidth="1"/>
    <col min="8" max="16384" width="9.140625" style="2" customWidth="1"/>
  </cols>
  <sheetData>
    <row r="1" spans="1:7" s="1" customFormat="1" ht="12.75">
      <c r="A1" s="172" t="s">
        <v>34</v>
      </c>
      <c r="B1" s="161"/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B2" s="161"/>
      <c r="C2" s="127"/>
      <c r="D2" s="127"/>
      <c r="E2" s="127"/>
      <c r="F2" s="127"/>
      <c r="G2" s="127"/>
    </row>
    <row r="3" spans="1:7" s="1" customFormat="1" ht="12.75">
      <c r="A3" s="161"/>
      <c r="B3" s="161"/>
      <c r="C3" s="127"/>
      <c r="D3" s="127"/>
      <c r="E3" s="127"/>
      <c r="F3" s="127"/>
      <c r="G3" s="127"/>
    </row>
    <row r="4" spans="1:2" s="1" customFormat="1" ht="12.75">
      <c r="A4" s="173" t="s">
        <v>35</v>
      </c>
      <c r="B4" s="173" t="s">
        <v>244</v>
      </c>
    </row>
    <row r="5" spans="1:7" s="1" customFormat="1" ht="12.75">
      <c r="A5" s="174" t="s">
        <v>36</v>
      </c>
      <c r="B5" s="173" t="s">
        <v>9</v>
      </c>
      <c r="G5" s="127"/>
    </row>
    <row r="6" spans="1:7" s="1" customFormat="1" ht="12.75">
      <c r="A6" s="173" t="s">
        <v>37</v>
      </c>
      <c r="B6" s="173"/>
      <c r="G6" s="130"/>
    </row>
    <row r="7" spans="1:7" s="1" customFormat="1" ht="12.75">
      <c r="A7" s="161"/>
      <c r="B7" s="175"/>
      <c r="C7" s="130"/>
      <c r="D7" s="130"/>
      <c r="E7" s="130"/>
      <c r="F7" s="130"/>
      <c r="G7" s="130"/>
    </row>
    <row r="8" spans="1:7" s="1" customFormat="1" ht="12.75">
      <c r="A8" s="161"/>
      <c r="B8" s="161"/>
      <c r="C8" s="133" t="s">
        <v>38</v>
      </c>
      <c r="D8" s="133"/>
      <c r="E8" s="133" t="s">
        <v>476</v>
      </c>
      <c r="F8" s="133"/>
      <c r="G8" s="134"/>
    </row>
    <row r="9" spans="1:7" s="136" customFormat="1" ht="12.75">
      <c r="A9" s="176"/>
      <c r="B9" s="177"/>
      <c r="C9" s="139" t="s">
        <v>494</v>
      </c>
      <c r="D9" s="139"/>
      <c r="E9" s="139" t="s">
        <v>279</v>
      </c>
      <c r="F9" s="160"/>
      <c r="G9" s="160" t="s">
        <v>39</v>
      </c>
    </row>
    <row r="10" spans="1:7" s="136" customFormat="1" ht="12.75">
      <c r="A10" s="176"/>
      <c r="B10" s="176"/>
      <c r="C10" s="144" t="s">
        <v>40</v>
      </c>
      <c r="D10" s="144"/>
      <c r="E10" s="144" t="s">
        <v>40</v>
      </c>
      <c r="F10" s="144"/>
      <c r="G10" s="144" t="s">
        <v>40</v>
      </c>
    </row>
    <row r="11" spans="1:7" s="136" customFormat="1" ht="12.75">
      <c r="A11" s="176"/>
      <c r="B11" s="176"/>
      <c r="C11" s="144"/>
      <c r="D11" s="144"/>
      <c r="E11" s="144"/>
      <c r="F11" s="144"/>
      <c r="G11" s="144"/>
    </row>
    <row r="12" spans="1:7" ht="12.75">
      <c r="A12" s="152"/>
      <c r="B12" s="149" t="s">
        <v>17</v>
      </c>
      <c r="C12" s="146">
        <v>53545.63333333333</v>
      </c>
      <c r="E12" s="151">
        <v>52463.96666666667</v>
      </c>
      <c r="F12" s="147"/>
      <c r="G12" s="146">
        <f>C12-E12</f>
        <v>1081.6666666666642</v>
      </c>
    </row>
    <row r="13" spans="1:7" ht="12.75">
      <c r="A13" s="152"/>
      <c r="B13" s="149" t="s">
        <v>18</v>
      </c>
      <c r="C13" s="146">
        <v>6853.841066666667</v>
      </c>
      <c r="E13" s="151">
        <v>6715.387733333334</v>
      </c>
      <c r="F13" s="147"/>
      <c r="G13" s="146">
        <f>C13-E13</f>
        <v>138.45333333333292</v>
      </c>
    </row>
    <row r="14" spans="1:7" ht="12.75">
      <c r="A14" s="152"/>
      <c r="B14" s="149" t="s">
        <v>19</v>
      </c>
      <c r="C14" s="146">
        <v>2359.14</v>
      </c>
      <c r="E14" s="151">
        <v>6461.025</v>
      </c>
      <c r="F14" s="147"/>
      <c r="G14" s="146">
        <f>C14-E14</f>
        <v>-4101.884999999999</v>
      </c>
    </row>
    <row r="15" spans="1:7" ht="12.75">
      <c r="A15" s="152"/>
      <c r="B15" s="149" t="s">
        <v>477</v>
      </c>
      <c r="C15" s="146">
        <v>5000</v>
      </c>
      <c r="E15" s="159">
        <v>1200</v>
      </c>
      <c r="F15" s="147"/>
      <c r="G15" s="146">
        <f>C15-E15</f>
        <v>3800</v>
      </c>
    </row>
    <row r="16" spans="1:7" ht="12.75">
      <c r="A16" s="152"/>
      <c r="B16" s="161" t="s">
        <v>42</v>
      </c>
      <c r="C16" s="153">
        <f>SUM(C12:C15)</f>
        <v>67758.61439999999</v>
      </c>
      <c r="D16" s="153"/>
      <c r="E16" s="123">
        <f>SUM(E12:E15)</f>
        <v>66840.3794</v>
      </c>
      <c r="F16" s="154"/>
      <c r="G16" s="153">
        <f>SUM(G12:G15)</f>
        <v>918.2349999999979</v>
      </c>
    </row>
    <row r="17" spans="1:7" ht="12.75">
      <c r="A17" s="152"/>
      <c r="C17" s="148"/>
      <c r="D17" s="148"/>
      <c r="E17" s="148"/>
      <c r="F17" s="124"/>
      <c r="G17" s="121"/>
    </row>
    <row r="18" spans="1:7" ht="12.75">
      <c r="A18" s="152"/>
      <c r="B18" s="149" t="s">
        <v>49</v>
      </c>
      <c r="C18" s="146">
        <v>500</v>
      </c>
      <c r="E18" s="151">
        <v>2000</v>
      </c>
      <c r="F18" s="147"/>
      <c r="G18" s="146">
        <f>C18-E18</f>
        <v>-1500</v>
      </c>
    </row>
    <row r="19" spans="1:7" ht="12.75">
      <c r="A19" s="152"/>
      <c r="B19" s="149" t="s">
        <v>50</v>
      </c>
      <c r="C19" s="146">
        <v>250</v>
      </c>
      <c r="E19" s="151">
        <v>1000</v>
      </c>
      <c r="F19" s="147"/>
      <c r="G19" s="146">
        <f>C19-E19</f>
        <v>-750</v>
      </c>
    </row>
    <row r="20" spans="1:7" ht="12.75" hidden="1">
      <c r="A20" s="152"/>
      <c r="B20" s="149" t="s">
        <v>51</v>
      </c>
      <c r="C20" s="146">
        <v>0</v>
      </c>
      <c r="E20" s="151">
        <v>0</v>
      </c>
      <c r="F20" s="147"/>
      <c r="G20" s="146">
        <f>ROUND(E20-C20,0)</f>
        <v>0</v>
      </c>
    </row>
    <row r="21" spans="1:7" ht="12.75" hidden="1">
      <c r="A21" s="152"/>
      <c r="B21" s="149" t="s">
        <v>95</v>
      </c>
      <c r="C21" s="146">
        <v>0</v>
      </c>
      <c r="E21" s="151">
        <v>0</v>
      </c>
      <c r="F21" s="147"/>
      <c r="G21" s="146">
        <f>ROUND(E21-C21,0)</f>
        <v>0</v>
      </c>
    </row>
    <row r="22" spans="1:7" ht="12.75">
      <c r="A22" s="152"/>
      <c r="B22" s="161" t="s">
        <v>14</v>
      </c>
      <c r="C22" s="153">
        <f>SUM(C18:C21)</f>
        <v>750</v>
      </c>
      <c r="D22" s="153"/>
      <c r="E22" s="123">
        <f>SUM(E18:E21)</f>
        <v>3000</v>
      </c>
      <c r="F22" s="154"/>
      <c r="G22" s="153">
        <f>SUM(G18:G21)</f>
        <v>-2250</v>
      </c>
    </row>
    <row r="23" spans="1:7" ht="12.75">
      <c r="A23" s="152"/>
      <c r="B23" s="161"/>
      <c r="E23" s="146"/>
      <c r="F23" s="124"/>
      <c r="G23" s="121"/>
    </row>
    <row r="24" spans="1:7" ht="12.75">
      <c r="A24" s="152"/>
      <c r="B24" s="149" t="s">
        <v>140</v>
      </c>
      <c r="C24" s="146">
        <v>3000</v>
      </c>
      <c r="E24" s="151">
        <v>9500</v>
      </c>
      <c r="F24" s="147"/>
      <c r="G24" s="146">
        <f>C24-E24</f>
        <v>-6500</v>
      </c>
    </row>
    <row r="25" spans="1:7" ht="12.75">
      <c r="A25" s="152"/>
      <c r="B25" s="149" t="s">
        <v>224</v>
      </c>
      <c r="C25" s="146">
        <v>0</v>
      </c>
      <c r="E25" s="151">
        <v>600</v>
      </c>
      <c r="F25" s="147"/>
      <c r="G25" s="146">
        <f>C25-E25</f>
        <v>-600</v>
      </c>
    </row>
    <row r="26" spans="1:7" ht="12.75">
      <c r="A26" s="152"/>
      <c r="B26" s="149" t="s">
        <v>66</v>
      </c>
      <c r="C26" s="146">
        <v>0</v>
      </c>
      <c r="E26" s="331">
        <v>350</v>
      </c>
      <c r="F26" s="147"/>
      <c r="G26" s="146">
        <f>C26-E26</f>
        <v>-350</v>
      </c>
    </row>
    <row r="27" spans="1:7" ht="12.75">
      <c r="A27" s="152"/>
      <c r="B27" s="161" t="s">
        <v>29</v>
      </c>
      <c r="C27" s="153">
        <f>SUM(C24)</f>
        <v>3000</v>
      </c>
      <c r="D27" s="153"/>
      <c r="E27" s="123">
        <f>SUM(E24:E26)</f>
        <v>10450</v>
      </c>
      <c r="F27" s="154"/>
      <c r="G27" s="153">
        <f>SUM(G24:G26)</f>
        <v>-7450</v>
      </c>
    </row>
    <row r="28" spans="1:7" ht="12.75">
      <c r="A28" s="152"/>
      <c r="E28" s="146"/>
      <c r="F28" s="147"/>
      <c r="G28" s="148"/>
    </row>
    <row r="29" spans="1:7" ht="12.75">
      <c r="A29" s="177"/>
      <c r="B29" s="177" t="s">
        <v>169</v>
      </c>
      <c r="C29" s="146">
        <v>53170</v>
      </c>
      <c r="E29" s="151">
        <v>40628</v>
      </c>
      <c r="F29" s="147"/>
      <c r="G29" s="146">
        <f>C29-E29</f>
        <v>12542</v>
      </c>
    </row>
    <row r="30" spans="1:7" ht="12.75">
      <c r="A30" s="177"/>
      <c r="B30" s="177" t="s">
        <v>170</v>
      </c>
      <c r="C30" s="146">
        <v>246182</v>
      </c>
      <c r="E30" s="151">
        <v>163565</v>
      </c>
      <c r="F30" s="147"/>
      <c r="G30" s="146">
        <f>C30-E30</f>
        <v>82617</v>
      </c>
    </row>
    <row r="31" spans="1:7" ht="12.75">
      <c r="A31" s="152"/>
      <c r="B31" s="161" t="s">
        <v>168</v>
      </c>
      <c r="C31" s="153">
        <f>SUM(C29:C30)</f>
        <v>299352</v>
      </c>
      <c r="D31" s="153"/>
      <c r="E31" s="123">
        <f>SUM(E29:E30)</f>
        <v>204193</v>
      </c>
      <c r="F31" s="154"/>
      <c r="G31" s="153">
        <f>SUM(G29:G30)</f>
        <v>95159</v>
      </c>
    </row>
    <row r="32" spans="1:7" ht="12.75">
      <c r="A32" s="152"/>
      <c r="E32" s="146"/>
      <c r="F32" s="147"/>
      <c r="G32" s="148"/>
    </row>
    <row r="33" spans="1:7" ht="12.75">
      <c r="A33" s="152"/>
      <c r="B33" s="149" t="s">
        <v>423</v>
      </c>
      <c r="C33" s="146">
        <v>0</v>
      </c>
      <c r="E33" s="151">
        <v>180</v>
      </c>
      <c r="F33" s="147"/>
      <c r="G33" s="146">
        <f aca="true" t="shared" si="0" ref="G33:G38">C33-E33</f>
        <v>-180</v>
      </c>
    </row>
    <row r="34" spans="1:7" ht="12.75">
      <c r="A34" s="152"/>
      <c r="B34" s="149" t="s">
        <v>30</v>
      </c>
      <c r="C34" s="146">
        <v>0</v>
      </c>
      <c r="E34" s="151">
        <v>5000</v>
      </c>
      <c r="F34" s="147"/>
      <c r="G34" s="146">
        <f t="shared" si="0"/>
        <v>-5000</v>
      </c>
    </row>
    <row r="35" spans="1:7" ht="12.75">
      <c r="A35" s="152"/>
      <c r="B35" s="149" t="s">
        <v>219</v>
      </c>
      <c r="C35" s="146">
        <v>1000</v>
      </c>
      <c r="E35" s="151">
        <v>1000</v>
      </c>
      <c r="F35" s="147"/>
      <c r="G35" s="146">
        <f t="shared" si="0"/>
        <v>0</v>
      </c>
    </row>
    <row r="36" spans="1:7" ht="12.75">
      <c r="A36" s="152"/>
      <c r="B36" s="149" t="s">
        <v>82</v>
      </c>
      <c r="C36" s="146">
        <v>3750</v>
      </c>
      <c r="E36" s="151">
        <v>1000</v>
      </c>
      <c r="F36" s="147"/>
      <c r="G36" s="146">
        <f t="shared" si="0"/>
        <v>2750</v>
      </c>
    </row>
    <row r="37" spans="1:7" ht="12.75">
      <c r="A37" s="145"/>
      <c r="B37" s="2" t="s">
        <v>83</v>
      </c>
      <c r="C37" s="146">
        <f>0</f>
        <v>0</v>
      </c>
      <c r="E37" s="151">
        <v>180</v>
      </c>
      <c r="F37" s="147"/>
      <c r="G37" s="146">
        <f t="shared" si="0"/>
        <v>-180</v>
      </c>
    </row>
    <row r="38" spans="1:7" ht="12.75">
      <c r="A38" s="145"/>
      <c r="B38" s="2" t="s">
        <v>202</v>
      </c>
      <c r="C38" s="146">
        <v>0</v>
      </c>
      <c r="E38" s="151">
        <v>700</v>
      </c>
      <c r="F38" s="147"/>
      <c r="G38" s="146">
        <f t="shared" si="0"/>
        <v>-700</v>
      </c>
    </row>
    <row r="39" spans="1:7" ht="12.75">
      <c r="A39" s="152"/>
      <c r="B39" s="161" t="s">
        <v>16</v>
      </c>
      <c r="C39" s="153">
        <f>SUM(C33:C37)</f>
        <v>4750</v>
      </c>
      <c r="D39" s="153"/>
      <c r="E39" s="123">
        <f>SUM(E33:E38)</f>
        <v>8060</v>
      </c>
      <c r="F39" s="154"/>
      <c r="G39" s="153">
        <f>SUM(G33:G38)</f>
        <v>-3310</v>
      </c>
    </row>
    <row r="40" spans="1:7" ht="12.75">
      <c r="A40" s="152"/>
      <c r="C40" s="156"/>
      <c r="D40" s="156"/>
      <c r="E40" s="156"/>
      <c r="F40" s="157"/>
      <c r="G40" s="158"/>
    </row>
    <row r="41" spans="2:7" ht="12.75">
      <c r="B41" s="161" t="s">
        <v>88</v>
      </c>
      <c r="C41" s="156">
        <f>C16+C22+C39+C31+C27</f>
        <v>375610.61439999996</v>
      </c>
      <c r="D41" s="156"/>
      <c r="E41" s="159">
        <f>E16+E22+E27+E31+E39</f>
        <v>292543.3794</v>
      </c>
      <c r="F41" s="157"/>
      <c r="G41" s="153">
        <f>C41-E41</f>
        <v>83067.23499999999</v>
      </c>
    </row>
    <row r="43" spans="3:5" ht="12.75">
      <c r="C43" s="146">
        <v>0</v>
      </c>
      <c r="E43" s="127"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2" r:id="rId1"/>
  <headerFooter alignWithMargins="0">
    <oddHeader>&amp;C&amp;F</oddHeader>
    <oddFooter>&amp;CPage &amp;P of &amp;N</oddFooter>
  </headerFooter>
  <rowBreaks count="1" manualBreakCount="1">
    <brk id="41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7"/>
  </sheetPr>
  <dimension ref="A1:G57"/>
  <sheetViews>
    <sheetView zoomScale="95" zoomScaleNormal="95" workbookViewId="0" topLeftCell="A1">
      <selection activeCell="G46" sqref="G46"/>
    </sheetView>
  </sheetViews>
  <sheetFormatPr defaultColWidth="9.140625" defaultRowHeight="12.75"/>
  <cols>
    <col min="1" max="1" width="17.8515625" style="2" customWidth="1"/>
    <col min="2" max="2" width="29.7109375" style="2" bestFit="1" customWidth="1"/>
    <col min="3" max="3" width="11.140625" style="146" bestFit="1" customWidth="1"/>
    <col min="4" max="4" width="4.8515625" style="146" customWidth="1"/>
    <col min="5" max="5" width="13.421875" style="127" bestFit="1" customWidth="1"/>
    <col min="6" max="6" width="5.0039062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26" t="s">
        <v>34</v>
      </c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C2" s="127"/>
      <c r="D2" s="127"/>
      <c r="E2" s="127"/>
      <c r="F2" s="127"/>
      <c r="G2" s="127"/>
    </row>
    <row r="3" spans="3:7" s="1" customFormat="1" ht="12.75">
      <c r="C3" s="127"/>
      <c r="D3" s="127"/>
      <c r="E3" s="127"/>
      <c r="F3" s="127"/>
      <c r="G3" s="127"/>
    </row>
    <row r="4" spans="1:2" s="1" customFormat="1" ht="12.75">
      <c r="A4" s="128" t="s">
        <v>35</v>
      </c>
      <c r="B4" s="128" t="s">
        <v>93</v>
      </c>
    </row>
    <row r="5" spans="1:7" s="1" customFormat="1" ht="12.75">
      <c r="A5" s="129" t="s">
        <v>36</v>
      </c>
      <c r="B5" s="128" t="s">
        <v>10</v>
      </c>
      <c r="G5" s="127"/>
    </row>
    <row r="6" spans="1:7" s="1" customFormat="1" ht="12.75">
      <c r="A6" s="128" t="s">
        <v>37</v>
      </c>
      <c r="B6" s="128" t="s">
        <v>264</v>
      </c>
      <c r="G6" s="130"/>
    </row>
    <row r="7" spans="2:7" s="1" customFormat="1" ht="12.75">
      <c r="B7" s="131"/>
      <c r="C7" s="130"/>
      <c r="D7" s="130"/>
      <c r="E7" s="130"/>
      <c r="F7" s="130"/>
      <c r="G7" s="130"/>
    </row>
    <row r="8" spans="3:7" s="1" customFormat="1" ht="12.75">
      <c r="C8" s="133" t="s">
        <v>38</v>
      </c>
      <c r="D8" s="133"/>
      <c r="E8" s="133" t="s">
        <v>476</v>
      </c>
      <c r="F8" s="134"/>
      <c r="G8" s="134"/>
    </row>
    <row r="9" spans="2:7" s="136" customFormat="1" ht="12.75">
      <c r="B9" s="137"/>
      <c r="C9" s="139" t="s">
        <v>494</v>
      </c>
      <c r="D9" s="139"/>
      <c r="E9" s="160" t="s">
        <v>279</v>
      </c>
      <c r="F9" s="160"/>
      <c r="G9" s="160" t="s">
        <v>39</v>
      </c>
    </row>
    <row r="10" spans="3:7" s="136" customFormat="1" ht="12.75">
      <c r="C10" s="144" t="s">
        <v>40</v>
      </c>
      <c r="D10" s="144"/>
      <c r="E10" s="144" t="s">
        <v>40</v>
      </c>
      <c r="F10" s="144"/>
      <c r="G10" s="144" t="s">
        <v>40</v>
      </c>
    </row>
    <row r="11" spans="3:7" s="136" customFormat="1" ht="12.75">
      <c r="C11" s="144"/>
      <c r="D11" s="144"/>
      <c r="E11" s="144"/>
      <c r="F11" s="144"/>
      <c r="G11" s="144"/>
    </row>
    <row r="12" spans="1:7" ht="12.75">
      <c r="A12" s="145"/>
      <c r="B12" s="2" t="s">
        <v>17</v>
      </c>
      <c r="C12" s="146">
        <v>314818</v>
      </c>
      <c r="E12" s="331">
        <v>312503.0125</v>
      </c>
      <c r="F12" s="147"/>
      <c r="G12" s="146">
        <f>C12-E12</f>
        <v>2314.9874999999884</v>
      </c>
    </row>
    <row r="13" spans="1:7" ht="12.75">
      <c r="A13" s="145"/>
      <c r="B13" s="2" t="s">
        <v>43</v>
      </c>
      <c r="C13" s="146">
        <v>1000</v>
      </c>
      <c r="E13" s="331">
        <v>2000</v>
      </c>
      <c r="F13" s="147"/>
      <c r="G13" s="146">
        <f>C13-E13</f>
        <v>-1000</v>
      </c>
    </row>
    <row r="14" spans="1:7" ht="12.75">
      <c r="A14" s="145"/>
      <c r="B14" s="2" t="s">
        <v>18</v>
      </c>
      <c r="C14" s="146">
        <v>40296.704</v>
      </c>
      <c r="E14" s="331">
        <f>E12*12.8%</f>
        <v>40000.3856</v>
      </c>
      <c r="F14" s="147"/>
      <c r="G14" s="146">
        <f>C14-E14</f>
        <v>296.3183999999965</v>
      </c>
    </row>
    <row r="15" spans="1:7" ht="12.75">
      <c r="A15" s="145"/>
      <c r="B15" s="2" t="s">
        <v>19</v>
      </c>
      <c r="C15" s="146">
        <v>20304.53</v>
      </c>
      <c r="E15" s="331">
        <v>16599.33</v>
      </c>
      <c r="F15" s="147"/>
      <c r="G15" s="146">
        <f>C15-E15</f>
        <v>3705.199999999997</v>
      </c>
    </row>
    <row r="16" spans="1:7" ht="12.75">
      <c r="A16" s="145"/>
      <c r="B16" s="2" t="s">
        <v>21</v>
      </c>
      <c r="C16" s="146">
        <v>0</v>
      </c>
      <c r="E16" s="331">
        <f>25500</f>
        <v>25500</v>
      </c>
      <c r="F16" s="147"/>
      <c r="G16" s="146">
        <f>C16-E16</f>
        <v>-25500</v>
      </c>
    </row>
    <row r="17" spans="1:7" ht="12.75">
      <c r="A17" s="145"/>
      <c r="B17" s="1" t="s">
        <v>42</v>
      </c>
      <c r="C17" s="153">
        <f>SUM(C12:C15)</f>
        <v>376419.23400000005</v>
      </c>
      <c r="D17" s="153"/>
      <c r="E17" s="123">
        <f>SUM(E12:E16)</f>
        <v>396602.7281</v>
      </c>
      <c r="F17" s="154"/>
      <c r="G17" s="153">
        <f>SUM(G12:G16)</f>
        <v>-20183.494100000018</v>
      </c>
    </row>
    <row r="18" spans="1:7" ht="12.75">
      <c r="A18" s="145"/>
      <c r="C18" s="148"/>
      <c r="D18" s="148"/>
      <c r="E18" s="124"/>
      <c r="F18" s="124"/>
      <c r="G18" s="121"/>
    </row>
    <row r="19" spans="1:7" ht="12.75">
      <c r="A19" s="145"/>
      <c r="B19" s="2" t="s">
        <v>49</v>
      </c>
      <c r="C19" s="146">
        <v>26100</v>
      </c>
      <c r="E19" s="331">
        <f>25000+14000</f>
        <v>39000</v>
      </c>
      <c r="F19" s="147"/>
      <c r="G19" s="146">
        <f>C19-E19</f>
        <v>-12900</v>
      </c>
    </row>
    <row r="20" spans="1:7" ht="12.75">
      <c r="A20" s="145"/>
      <c r="B20" s="2" t="s">
        <v>50</v>
      </c>
      <c r="C20" s="146">
        <v>14500</v>
      </c>
      <c r="E20" s="331">
        <f>12000+14000</f>
        <v>26000</v>
      </c>
      <c r="F20" s="147"/>
      <c r="G20" s="146">
        <f>C20-E20</f>
        <v>-11500</v>
      </c>
    </row>
    <row r="21" spans="1:7" ht="12.75">
      <c r="A21" s="145"/>
      <c r="B21" s="2" t="s">
        <v>51</v>
      </c>
      <c r="C21" s="146">
        <v>0</v>
      </c>
      <c r="E21" s="331">
        <v>1000</v>
      </c>
      <c r="F21" s="147"/>
      <c r="G21" s="146">
        <f>C21-E21</f>
        <v>-1000</v>
      </c>
    </row>
    <row r="22" spans="1:7" ht="12.75">
      <c r="A22" s="145"/>
      <c r="B22" s="1" t="s">
        <v>14</v>
      </c>
      <c r="C22" s="153">
        <f>SUM(C19:C21)</f>
        <v>40600</v>
      </c>
      <c r="D22" s="153"/>
      <c r="E22" s="123">
        <f>SUM(E19:E21)</f>
        <v>66000</v>
      </c>
      <c r="F22" s="154"/>
      <c r="G22" s="153">
        <f>SUM(G19:G21)</f>
        <v>-25400</v>
      </c>
    </row>
    <row r="23" spans="1:7" ht="12.75">
      <c r="A23" s="145"/>
      <c r="E23" s="147"/>
      <c r="F23" s="147"/>
      <c r="G23" s="148"/>
    </row>
    <row r="24" spans="1:7" ht="12.75">
      <c r="A24" s="152"/>
      <c r="B24" s="149" t="s">
        <v>140</v>
      </c>
      <c r="C24" s="146">
        <v>10000</v>
      </c>
      <c r="E24" s="151">
        <v>5000</v>
      </c>
      <c r="F24" s="147"/>
      <c r="G24" s="146">
        <f>C24-E24</f>
        <v>5000</v>
      </c>
    </row>
    <row r="25" spans="1:7" ht="12.75">
      <c r="A25" s="152"/>
      <c r="B25" s="149" t="s">
        <v>259</v>
      </c>
      <c r="C25" s="146">
        <v>1000</v>
      </c>
      <c r="E25" s="151">
        <v>1500</v>
      </c>
      <c r="F25" s="147"/>
      <c r="G25" s="146">
        <f>C25-E25</f>
        <v>-500</v>
      </c>
    </row>
    <row r="26" spans="1:7" ht="12.75">
      <c r="A26" s="152"/>
      <c r="B26" s="161" t="s">
        <v>29</v>
      </c>
      <c r="C26" s="153">
        <f>SUM(C24:C25)</f>
        <v>11000</v>
      </c>
      <c r="D26" s="153"/>
      <c r="E26" s="123">
        <f>SUM(E24:E25)</f>
        <v>6500</v>
      </c>
      <c r="F26" s="154"/>
      <c r="G26" s="153">
        <f>SUM(G24:G25)</f>
        <v>4500</v>
      </c>
    </row>
    <row r="27" spans="1:7" ht="12.75">
      <c r="A27" s="145"/>
      <c r="B27" s="1"/>
      <c r="C27" s="155"/>
      <c r="D27" s="155"/>
      <c r="E27" s="124"/>
      <c r="F27" s="124"/>
      <c r="G27" s="155"/>
    </row>
    <row r="28" spans="1:7" ht="12.75">
      <c r="A28" s="145"/>
      <c r="B28" s="2" t="s">
        <v>308</v>
      </c>
      <c r="C28" s="146">
        <v>210000</v>
      </c>
      <c r="E28" s="151">
        <v>160483</v>
      </c>
      <c r="F28" s="147"/>
      <c r="G28" s="146">
        <f>C28-E28</f>
        <v>49517</v>
      </c>
    </row>
    <row r="29" spans="1:7" ht="12.75">
      <c r="A29" s="145"/>
      <c r="B29" s="278" t="s">
        <v>172</v>
      </c>
      <c r="C29" s="146">
        <v>4000</v>
      </c>
      <c r="E29" s="151">
        <v>2500</v>
      </c>
      <c r="F29" s="147"/>
      <c r="G29" s="146">
        <f aca="true" t="shared" si="0" ref="G29:G40">C29-E29</f>
        <v>1500</v>
      </c>
    </row>
    <row r="30" spans="1:7" ht="12.75">
      <c r="A30" s="137"/>
      <c r="B30" s="171" t="s">
        <v>450</v>
      </c>
      <c r="C30" s="146">
        <v>60400</v>
      </c>
      <c r="E30" s="151">
        <v>40000</v>
      </c>
      <c r="F30" s="147"/>
      <c r="G30" s="146">
        <f t="shared" si="0"/>
        <v>20400</v>
      </c>
    </row>
    <row r="31" spans="1:7" ht="12.75">
      <c r="A31" s="137"/>
      <c r="B31" s="278" t="s">
        <v>174</v>
      </c>
      <c r="C31" s="146">
        <v>36000</v>
      </c>
      <c r="E31" s="151">
        <v>35000</v>
      </c>
      <c r="F31" s="147"/>
      <c r="G31" s="146">
        <f t="shared" si="0"/>
        <v>1000</v>
      </c>
    </row>
    <row r="32" spans="1:7" ht="12.75">
      <c r="A32" s="137"/>
      <c r="B32" s="278" t="s">
        <v>175</v>
      </c>
      <c r="C32" s="146">
        <v>40000</v>
      </c>
      <c r="E32" s="151">
        <v>25000</v>
      </c>
      <c r="F32" s="147"/>
      <c r="G32" s="146">
        <f t="shared" si="0"/>
        <v>15000</v>
      </c>
    </row>
    <row r="33" spans="1:7" ht="12.75">
      <c r="A33" s="137"/>
      <c r="B33" s="278" t="s">
        <v>176</v>
      </c>
      <c r="C33" s="146">
        <v>20000</v>
      </c>
      <c r="E33" s="151">
        <v>20000</v>
      </c>
      <c r="F33" s="147"/>
      <c r="G33" s="146">
        <f t="shared" si="0"/>
        <v>0</v>
      </c>
    </row>
    <row r="34" spans="1:7" ht="12.75">
      <c r="A34" s="137"/>
      <c r="B34" s="171" t="s">
        <v>286</v>
      </c>
      <c r="C34" s="146">
        <v>71350</v>
      </c>
      <c r="E34" s="151">
        <v>65000</v>
      </c>
      <c r="F34" s="147"/>
      <c r="G34" s="146">
        <f t="shared" si="0"/>
        <v>6350</v>
      </c>
    </row>
    <row r="35" spans="1:7" ht="12" customHeight="1">
      <c r="A35" s="137"/>
      <c r="B35" s="278" t="s">
        <v>309</v>
      </c>
      <c r="C35" s="146">
        <v>42000</v>
      </c>
      <c r="E35" s="151">
        <v>27000</v>
      </c>
      <c r="F35" s="147"/>
      <c r="G35" s="146">
        <f t="shared" si="0"/>
        <v>15000</v>
      </c>
    </row>
    <row r="36" spans="1:7" ht="12.75">
      <c r="A36" s="137"/>
      <c r="B36" s="278" t="s">
        <v>207</v>
      </c>
      <c r="C36" s="146">
        <v>12500</v>
      </c>
      <c r="E36" s="151">
        <v>15000</v>
      </c>
      <c r="F36" s="147"/>
      <c r="G36" s="146">
        <f t="shared" si="0"/>
        <v>-2500</v>
      </c>
    </row>
    <row r="37" spans="1:7" ht="12.75">
      <c r="A37" s="137"/>
      <c r="B37" s="278" t="s">
        <v>310</v>
      </c>
      <c r="C37" s="146">
        <v>43000</v>
      </c>
      <c r="E37" s="151">
        <v>35000</v>
      </c>
      <c r="F37" s="147"/>
      <c r="G37" s="146">
        <f t="shared" si="0"/>
        <v>8000</v>
      </c>
    </row>
    <row r="38" spans="1:7" ht="12.75">
      <c r="A38" s="137"/>
      <c r="B38" s="137" t="s">
        <v>285</v>
      </c>
      <c r="C38" s="146">
        <v>30000</v>
      </c>
      <c r="E38" s="151">
        <v>15000</v>
      </c>
      <c r="F38" s="147"/>
      <c r="G38" s="146">
        <f t="shared" si="0"/>
        <v>15000</v>
      </c>
    </row>
    <row r="39" spans="1:7" ht="12.75">
      <c r="A39" s="137"/>
      <c r="B39" s="137" t="s">
        <v>311</v>
      </c>
      <c r="C39" s="146">
        <v>45600</v>
      </c>
      <c r="E39" s="151">
        <v>45000</v>
      </c>
      <c r="F39" s="147"/>
      <c r="G39" s="146">
        <f t="shared" si="0"/>
        <v>600</v>
      </c>
    </row>
    <row r="40" spans="1:7" ht="12.75">
      <c r="A40" s="137"/>
      <c r="B40" s="137" t="s">
        <v>579</v>
      </c>
      <c r="C40" s="146">
        <v>0</v>
      </c>
      <c r="E40" s="151">
        <v>30000</v>
      </c>
      <c r="F40" s="147"/>
      <c r="G40" s="146">
        <f t="shared" si="0"/>
        <v>-30000</v>
      </c>
    </row>
    <row r="41" spans="1:7" ht="12.75">
      <c r="A41" s="137"/>
      <c r="B41" s="1" t="s">
        <v>132</v>
      </c>
      <c r="C41" s="153">
        <f>SUM(C28:C39)</f>
        <v>614850</v>
      </c>
      <c r="D41" s="153"/>
      <c r="E41" s="123">
        <f>SUM(E28:E40)</f>
        <v>514983</v>
      </c>
      <c r="F41" s="154"/>
      <c r="G41" s="153">
        <f>SUM(G28:G40)</f>
        <v>99867</v>
      </c>
    </row>
    <row r="42" spans="1:7" ht="12.75">
      <c r="A42" s="137"/>
      <c r="B42" s="137"/>
      <c r="E42" s="147"/>
      <c r="F42" s="147"/>
      <c r="G42" s="148"/>
    </row>
    <row r="43" spans="1:7" ht="12.75">
      <c r="A43" s="137"/>
      <c r="B43" s="137" t="s">
        <v>417</v>
      </c>
      <c r="C43" s="146">
        <v>0</v>
      </c>
      <c r="E43" s="151">
        <v>1000</v>
      </c>
      <c r="F43" s="147"/>
      <c r="G43" s="146">
        <f>C43-E43</f>
        <v>-1000</v>
      </c>
    </row>
    <row r="44" spans="1:7" ht="12.75">
      <c r="A44" s="145"/>
      <c r="B44" s="2" t="s">
        <v>82</v>
      </c>
      <c r="C44" s="146">
        <v>8250</v>
      </c>
      <c r="E44" s="151">
        <v>10500</v>
      </c>
      <c r="F44" s="147"/>
      <c r="G44" s="146">
        <f>C44-E44</f>
        <v>-2250</v>
      </c>
    </row>
    <row r="45" spans="1:7" ht="12.75">
      <c r="A45" s="145"/>
      <c r="B45" s="2" t="s">
        <v>530</v>
      </c>
      <c r="C45" s="146">
        <v>25080</v>
      </c>
      <c r="E45" s="151">
        <v>25080</v>
      </c>
      <c r="F45" s="147"/>
      <c r="G45" s="146">
        <f>C45-E45</f>
        <v>0</v>
      </c>
    </row>
    <row r="46" spans="1:7" ht="12.75">
      <c r="A46" s="145"/>
      <c r="B46" s="1" t="s">
        <v>16</v>
      </c>
      <c r="C46" s="153">
        <f>SUM(C43:C45)</f>
        <v>33330</v>
      </c>
      <c r="D46" s="153"/>
      <c r="E46" s="123">
        <f>SUM(E43:E45)</f>
        <v>36580</v>
      </c>
      <c r="F46" s="154"/>
      <c r="G46" s="153">
        <f>SUM(G43:G45)</f>
        <v>-3250</v>
      </c>
    </row>
    <row r="47" spans="1:7" ht="12.75">
      <c r="A47" s="145"/>
      <c r="C47" s="156"/>
      <c r="D47" s="156"/>
      <c r="E47" s="157"/>
      <c r="F47" s="157"/>
      <c r="G47" s="158"/>
    </row>
    <row r="48" spans="2:7" ht="12.75">
      <c r="B48" s="1" t="s">
        <v>88</v>
      </c>
      <c r="C48" s="156">
        <f>C17+C22+C46+C41+C26</f>
        <v>1076199.2340000002</v>
      </c>
      <c r="D48" s="156"/>
      <c r="E48" s="159">
        <f>E17+E22+E26+E41+E46</f>
        <v>1020665.7281</v>
      </c>
      <c r="F48" s="157"/>
      <c r="G48" s="156">
        <f>C48-E48</f>
        <v>55533.50590000022</v>
      </c>
    </row>
    <row r="50" spans="3:5" ht="12.75">
      <c r="C50" s="146">
        <v>0</v>
      </c>
      <c r="E50" s="127">
        <v>0</v>
      </c>
    </row>
    <row r="53" spans="5:6" ht="12.75">
      <c r="E53" s="146"/>
      <c r="F53" s="146"/>
    </row>
    <row r="54" spans="5:6" ht="12.75">
      <c r="E54" s="146"/>
      <c r="F54" s="146"/>
    </row>
    <row r="55" spans="5:6" ht="12.75">
      <c r="E55" s="146"/>
      <c r="F55" s="146"/>
    </row>
    <row r="57" spans="5:6" ht="12.75">
      <c r="E57" s="146"/>
      <c r="F57" s="146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  <headerFooter alignWithMargins="0">
    <oddHeader>&amp;C&amp;F</oddHeader>
    <oddFooter>&amp;CPage &amp;P of &amp;N</oddFooter>
  </headerFooter>
  <rowBreaks count="1" manualBreakCount="1">
    <brk id="48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57"/>
  </sheetPr>
  <dimension ref="A1:G52"/>
  <sheetViews>
    <sheetView workbookViewId="0" topLeftCell="A1">
      <selection activeCell="G41" sqref="G41"/>
    </sheetView>
  </sheetViews>
  <sheetFormatPr defaultColWidth="9.140625" defaultRowHeight="12.75"/>
  <cols>
    <col min="1" max="1" width="17.8515625" style="149" customWidth="1"/>
    <col min="2" max="2" width="29.7109375" style="149" bestFit="1" customWidth="1"/>
    <col min="3" max="3" width="10.421875" style="146" bestFit="1" customWidth="1"/>
    <col min="4" max="4" width="4.00390625" style="146" customWidth="1"/>
    <col min="5" max="5" width="11.8515625" style="127" bestFit="1" customWidth="1"/>
    <col min="6" max="6" width="3.7109375" style="127" customWidth="1"/>
    <col min="7" max="7" width="10.00390625" style="146" customWidth="1"/>
    <col min="8" max="16384" width="9.140625" style="2" customWidth="1"/>
  </cols>
  <sheetData>
    <row r="1" spans="1:7" s="1" customFormat="1" ht="12.75">
      <c r="A1" s="172" t="s">
        <v>34</v>
      </c>
      <c r="B1" s="161"/>
      <c r="C1" s="127"/>
      <c r="D1" s="127"/>
      <c r="E1" s="127"/>
      <c r="F1" s="127"/>
      <c r="G1" s="127"/>
    </row>
    <row r="2" spans="1:7" s="1" customFormat="1" ht="12.75">
      <c r="A2" s="126" t="str">
        <f>'DETAILED SUMMARY'!A3</f>
        <v>BUDGET FOR YEAR TO 31 MARCH 2010</v>
      </c>
      <c r="B2" s="161"/>
      <c r="C2" s="127"/>
      <c r="D2" s="127"/>
      <c r="E2" s="127"/>
      <c r="F2" s="127"/>
      <c r="G2" s="127"/>
    </row>
    <row r="3" spans="1:7" s="1" customFormat="1" ht="12.75">
      <c r="A3" s="161"/>
      <c r="B3" s="161"/>
      <c r="C3" s="127"/>
      <c r="D3" s="127"/>
      <c r="E3" s="127"/>
      <c r="F3" s="127"/>
      <c r="G3" s="127"/>
    </row>
    <row r="4" spans="1:2" s="1" customFormat="1" ht="12.75">
      <c r="A4" s="173" t="s">
        <v>35</v>
      </c>
      <c r="B4" s="173" t="s">
        <v>245</v>
      </c>
    </row>
    <row r="5" spans="1:7" s="1" customFormat="1" ht="12.75">
      <c r="A5" s="174" t="s">
        <v>36</v>
      </c>
      <c r="B5" s="173" t="s">
        <v>221</v>
      </c>
      <c r="G5" s="127"/>
    </row>
    <row r="6" spans="1:7" s="1" customFormat="1" ht="12.75">
      <c r="A6" s="173" t="s">
        <v>37</v>
      </c>
      <c r="B6" s="173" t="s">
        <v>531</v>
      </c>
      <c r="G6" s="130"/>
    </row>
    <row r="7" spans="1:7" s="1" customFormat="1" ht="12.75">
      <c r="A7" s="161"/>
      <c r="B7" s="175"/>
      <c r="C7" s="130"/>
      <c r="D7" s="130"/>
      <c r="E7" s="130"/>
      <c r="F7" s="130"/>
      <c r="G7" s="130"/>
    </row>
    <row r="8" spans="1:7" s="1" customFormat="1" ht="12.75">
      <c r="A8" s="161"/>
      <c r="B8" s="161"/>
      <c r="C8" s="133" t="s">
        <v>38</v>
      </c>
      <c r="D8" s="134"/>
      <c r="E8" s="133" t="s">
        <v>476</v>
      </c>
      <c r="F8" s="134"/>
      <c r="G8" s="133"/>
    </row>
    <row r="9" spans="1:7" s="136" customFormat="1" ht="12.75">
      <c r="A9" s="176"/>
      <c r="B9" s="177"/>
      <c r="C9" s="168" t="s">
        <v>494</v>
      </c>
      <c r="D9" s="139"/>
      <c r="E9" s="168" t="s">
        <v>279</v>
      </c>
      <c r="F9" s="160"/>
      <c r="G9" s="160" t="s">
        <v>39</v>
      </c>
    </row>
    <row r="10" spans="1:7" s="136" customFormat="1" ht="12.75">
      <c r="A10" s="176"/>
      <c r="B10" s="176"/>
      <c r="C10" s="144" t="s">
        <v>40</v>
      </c>
      <c r="D10" s="144"/>
      <c r="E10" s="144" t="s">
        <v>40</v>
      </c>
      <c r="F10" s="144"/>
      <c r="G10" s="144" t="s">
        <v>40</v>
      </c>
    </row>
    <row r="11" spans="1:7" s="136" customFormat="1" ht="12.75">
      <c r="A11" s="176"/>
      <c r="B11" s="176"/>
      <c r="C11" s="144"/>
      <c r="D11" s="144"/>
      <c r="E11" s="144"/>
      <c r="F11" s="144"/>
      <c r="G11" s="144"/>
    </row>
    <row r="12" spans="1:7" ht="12.75">
      <c r="A12" s="152"/>
      <c r="B12" s="149" t="s">
        <v>17</v>
      </c>
      <c r="C12" s="146">
        <v>184521.56666666665</v>
      </c>
      <c r="E12" s="151">
        <v>151209</v>
      </c>
      <c r="F12" s="147"/>
      <c r="G12" s="146">
        <f>C12-E12</f>
        <v>33312.56666666665</v>
      </c>
    </row>
    <row r="13" spans="1:7" ht="12.75">
      <c r="A13" s="152"/>
      <c r="B13" s="149" t="s">
        <v>43</v>
      </c>
      <c r="C13" s="146">
        <v>2000</v>
      </c>
      <c r="E13" s="151">
        <v>2000</v>
      </c>
      <c r="F13" s="147"/>
      <c r="G13" s="146">
        <f>C13-E13</f>
        <v>0</v>
      </c>
    </row>
    <row r="14" spans="1:7" ht="12.75">
      <c r="A14" s="152"/>
      <c r="B14" s="149" t="s">
        <v>18</v>
      </c>
      <c r="C14" s="146">
        <v>23618.76053333333</v>
      </c>
      <c r="E14" s="151">
        <v>19354.752</v>
      </c>
      <c r="F14" s="147"/>
      <c r="G14" s="146">
        <f>C14-E14</f>
        <v>4264.00853333333</v>
      </c>
    </row>
    <row r="15" spans="1:7" ht="12.75">
      <c r="A15" s="152"/>
      <c r="B15" s="149" t="s">
        <v>19</v>
      </c>
      <c r="C15" s="146">
        <v>27121.058500000003</v>
      </c>
      <c r="E15" s="151">
        <v>23201.145000000004</v>
      </c>
      <c r="F15" s="147"/>
      <c r="G15" s="146">
        <f>C15-E15</f>
        <v>3919.9134999999987</v>
      </c>
    </row>
    <row r="16" spans="1:7" ht="12.75">
      <c r="A16" s="152"/>
      <c r="B16" s="149" t="s">
        <v>46</v>
      </c>
      <c r="C16" s="146">
        <v>4000</v>
      </c>
      <c r="E16" s="151">
        <v>0</v>
      </c>
      <c r="F16" s="147"/>
      <c r="G16" s="146">
        <f>C16-E16</f>
        <v>4000</v>
      </c>
    </row>
    <row r="17" spans="1:7" ht="12.75">
      <c r="A17" s="152"/>
      <c r="B17" s="161" t="s">
        <v>42</v>
      </c>
      <c r="C17" s="153">
        <f>SUM(C12:C16)</f>
        <v>241261.38569999998</v>
      </c>
      <c r="D17" s="153"/>
      <c r="E17" s="123">
        <f>SUM(E12:E16)</f>
        <v>195764.897</v>
      </c>
      <c r="F17" s="154"/>
      <c r="G17" s="153">
        <f>SUM(G12:G16)</f>
        <v>45496.48869999997</v>
      </c>
    </row>
    <row r="18" spans="1:7" ht="12.75">
      <c r="A18" s="152"/>
      <c r="C18" s="148"/>
      <c r="D18" s="148"/>
      <c r="E18" s="148"/>
      <c r="F18" s="124"/>
      <c r="G18" s="121"/>
    </row>
    <row r="19" spans="1:7" ht="12.75">
      <c r="A19" s="152"/>
      <c r="B19" s="149" t="s">
        <v>49</v>
      </c>
      <c r="C19" s="146">
        <v>12500</v>
      </c>
      <c r="E19" s="151">
        <v>10322</v>
      </c>
      <c r="F19" s="147"/>
      <c r="G19" s="146">
        <f>C19-E19</f>
        <v>2178</v>
      </c>
    </row>
    <row r="20" spans="1:7" ht="12.75">
      <c r="A20" s="152"/>
      <c r="B20" s="149" t="s">
        <v>50</v>
      </c>
      <c r="C20" s="146">
        <v>4486</v>
      </c>
      <c r="E20" s="151">
        <v>3605</v>
      </c>
      <c r="F20" s="147"/>
      <c r="G20" s="146">
        <f>C20-E20</f>
        <v>881</v>
      </c>
    </row>
    <row r="21" spans="1:7" ht="12.75">
      <c r="A21" s="152"/>
      <c r="B21" s="149" t="s">
        <v>95</v>
      </c>
      <c r="C21" s="146">
        <v>3750</v>
      </c>
      <c r="E21" s="151">
        <v>4000</v>
      </c>
      <c r="F21" s="147"/>
      <c r="G21" s="146">
        <f>C21-E21</f>
        <v>-250</v>
      </c>
    </row>
    <row r="22" spans="1:7" ht="12.75">
      <c r="A22" s="152"/>
      <c r="B22" s="161" t="s">
        <v>14</v>
      </c>
      <c r="C22" s="153">
        <f>SUM(C19:C21)</f>
        <v>20736</v>
      </c>
      <c r="D22" s="153"/>
      <c r="E22" s="123">
        <f>SUM(E19:E21)</f>
        <v>17927</v>
      </c>
      <c r="F22" s="154"/>
      <c r="G22" s="153">
        <f>SUM(G19:G21)</f>
        <v>2809</v>
      </c>
    </row>
    <row r="23" spans="1:7" ht="12.75">
      <c r="A23" s="152"/>
      <c r="E23" s="146"/>
      <c r="F23" s="147"/>
      <c r="G23" s="148"/>
    </row>
    <row r="24" spans="1:7" ht="12.75">
      <c r="A24" s="152"/>
      <c r="B24" s="149" t="s">
        <v>74</v>
      </c>
      <c r="C24" s="146">
        <v>2450</v>
      </c>
      <c r="E24" s="151">
        <v>0</v>
      </c>
      <c r="F24" s="147"/>
      <c r="G24" s="146">
        <f>C24-E24</f>
        <v>2450</v>
      </c>
    </row>
    <row r="25" spans="1:7" ht="12.75">
      <c r="A25" s="152"/>
      <c r="B25" s="149" t="s">
        <v>532</v>
      </c>
      <c r="C25" s="146">
        <v>3920</v>
      </c>
      <c r="E25" s="151">
        <v>0</v>
      </c>
      <c r="F25" s="147"/>
      <c r="G25" s="146">
        <f>C25-E25</f>
        <v>3920</v>
      </c>
    </row>
    <row r="26" spans="1:7" ht="12.75">
      <c r="A26" s="152"/>
      <c r="B26" s="161" t="s">
        <v>533</v>
      </c>
      <c r="C26" s="153">
        <f>SUM(C24:C25)</f>
        <v>6370</v>
      </c>
      <c r="D26" s="153"/>
      <c r="E26" s="123">
        <f>SUM(E24:E25)</f>
        <v>0</v>
      </c>
      <c r="F26" s="154"/>
      <c r="G26" s="166">
        <f>SUM(G24:G25)</f>
        <v>6370</v>
      </c>
    </row>
    <row r="27" spans="1:7" ht="12.75">
      <c r="A27" s="152"/>
      <c r="E27" s="146"/>
      <c r="F27" s="147"/>
      <c r="G27" s="148"/>
    </row>
    <row r="28" spans="1:7" ht="12.75">
      <c r="A28" s="152"/>
      <c r="B28" s="152" t="s">
        <v>222</v>
      </c>
      <c r="C28" s="146">
        <v>35300</v>
      </c>
      <c r="E28" s="151">
        <v>78000</v>
      </c>
      <c r="F28" s="147"/>
      <c r="G28" s="146">
        <f>C28-E28</f>
        <v>-42700</v>
      </c>
    </row>
    <row r="29" spans="1:7" ht="12.75">
      <c r="A29" s="152"/>
      <c r="B29" s="152" t="s">
        <v>227</v>
      </c>
      <c r="C29" s="146">
        <v>1168.72</v>
      </c>
      <c r="E29" s="151">
        <v>240</v>
      </c>
      <c r="F29" s="147"/>
      <c r="G29" s="146">
        <f>C29-E29</f>
        <v>928.72</v>
      </c>
    </row>
    <row r="30" spans="1:7" ht="12.75">
      <c r="A30" s="152"/>
      <c r="B30" s="161" t="s">
        <v>29</v>
      </c>
      <c r="C30" s="153">
        <f>SUM(C28:C29)</f>
        <v>36468.72</v>
      </c>
      <c r="D30" s="153"/>
      <c r="E30" s="123">
        <f>SUM(E28:E29)</f>
        <v>78240</v>
      </c>
      <c r="F30" s="166"/>
      <c r="G30" s="153">
        <f>SUM(G28:G29)</f>
        <v>-41771.28</v>
      </c>
    </row>
    <row r="31" spans="1:7" s="149" customFormat="1" ht="12.75">
      <c r="A31" s="152"/>
      <c r="B31" s="161"/>
      <c r="C31" s="121"/>
      <c r="D31" s="121"/>
      <c r="E31" s="121"/>
      <c r="F31" s="124"/>
      <c r="G31" s="121"/>
    </row>
    <row r="32" spans="1:7" ht="12.75">
      <c r="A32" s="177"/>
      <c r="B32" s="177" t="s">
        <v>182</v>
      </c>
      <c r="C32" s="146">
        <v>26400</v>
      </c>
      <c r="E32" s="151">
        <v>0</v>
      </c>
      <c r="F32" s="147"/>
      <c r="G32" s="146">
        <f>C32-E32</f>
        <v>26400</v>
      </c>
    </row>
    <row r="33" spans="1:7" ht="12.75">
      <c r="A33" s="177"/>
      <c r="B33" s="177" t="s">
        <v>208</v>
      </c>
      <c r="C33" s="146">
        <v>5600</v>
      </c>
      <c r="E33" s="151">
        <v>10000</v>
      </c>
      <c r="F33" s="147"/>
      <c r="G33" s="146">
        <f>C33-E33</f>
        <v>-4400</v>
      </c>
    </row>
    <row r="34" spans="1:7" ht="12.75">
      <c r="A34" s="177"/>
      <c r="B34" s="177" t="s">
        <v>287</v>
      </c>
      <c r="C34" s="146">
        <v>60000</v>
      </c>
      <c r="E34" s="151">
        <v>10000</v>
      </c>
      <c r="F34" s="147"/>
      <c r="G34" s="146">
        <f>C34-E34</f>
        <v>50000</v>
      </c>
    </row>
    <row r="35" spans="1:7" ht="12.75">
      <c r="A35" s="152"/>
      <c r="B35" s="161" t="s">
        <v>132</v>
      </c>
      <c r="C35" s="153">
        <f>SUM(C32:C34)</f>
        <v>92000</v>
      </c>
      <c r="D35" s="153"/>
      <c r="E35" s="123">
        <f>SUM(E32:E34)</f>
        <v>20000</v>
      </c>
      <c r="F35" s="154"/>
      <c r="G35" s="153">
        <f>SUM(G32:G34)</f>
        <v>72000</v>
      </c>
    </row>
    <row r="36" spans="1:7" ht="12.75">
      <c r="A36" s="152"/>
      <c r="E36" s="146"/>
      <c r="F36" s="147"/>
      <c r="G36" s="148"/>
    </row>
    <row r="37" spans="1:7" ht="12.75">
      <c r="A37" s="152"/>
      <c r="B37" s="149" t="s">
        <v>417</v>
      </c>
      <c r="C37" s="146">
        <v>292</v>
      </c>
      <c r="E37" s="151">
        <v>1408</v>
      </c>
      <c r="F37" s="147"/>
      <c r="G37" s="146">
        <f>C37-E37</f>
        <v>-1116</v>
      </c>
    </row>
    <row r="38" spans="1:7" ht="12.75">
      <c r="A38" s="152"/>
      <c r="B38" s="149" t="s">
        <v>226</v>
      </c>
      <c r="C38" s="146">
        <v>7000</v>
      </c>
      <c r="E38" s="151">
        <v>7000</v>
      </c>
      <c r="F38" s="147"/>
      <c r="G38" s="146">
        <f>C38-E38</f>
        <v>0</v>
      </c>
    </row>
    <row r="39" spans="1:7" ht="12.75">
      <c r="A39" s="152"/>
      <c r="B39" s="149" t="s">
        <v>82</v>
      </c>
      <c r="C39" s="146">
        <v>10600</v>
      </c>
      <c r="E39" s="151">
        <v>7000</v>
      </c>
      <c r="F39" s="147"/>
      <c r="G39" s="146">
        <f>C39-E39</f>
        <v>3600</v>
      </c>
    </row>
    <row r="40" spans="1:7" ht="12.75">
      <c r="A40" s="152"/>
      <c r="B40" s="149" t="s">
        <v>83</v>
      </c>
      <c r="C40" s="146">
        <v>2700</v>
      </c>
      <c r="E40" s="151">
        <v>2500</v>
      </c>
      <c r="F40" s="147"/>
      <c r="G40" s="146">
        <f>C40-E40</f>
        <v>200</v>
      </c>
    </row>
    <row r="41" spans="1:7" ht="12.75">
      <c r="A41" s="152"/>
      <c r="B41" s="161" t="s">
        <v>16</v>
      </c>
      <c r="C41" s="153">
        <f>SUM(C37:C40)</f>
        <v>20592</v>
      </c>
      <c r="D41" s="153"/>
      <c r="E41" s="123">
        <f>SUM(E37:E40)</f>
        <v>17908</v>
      </c>
      <c r="F41" s="154"/>
      <c r="G41" s="153">
        <f>SUM(G37:G40)</f>
        <v>2684</v>
      </c>
    </row>
    <row r="42" spans="1:7" ht="12.75">
      <c r="A42" s="152"/>
      <c r="C42" s="156"/>
      <c r="D42" s="156"/>
      <c r="E42" s="156"/>
      <c r="F42" s="157"/>
      <c r="G42" s="158"/>
    </row>
    <row r="43" spans="2:7" ht="12.75">
      <c r="B43" s="161" t="s">
        <v>88</v>
      </c>
      <c r="C43" s="156">
        <f>C17+C22+C30+C35+C41+C26</f>
        <v>417428.10569999996</v>
      </c>
      <c r="D43" s="156"/>
      <c r="E43" s="159">
        <f>E17+E22+E30+E35+E41</f>
        <v>329839.897</v>
      </c>
      <c r="F43" s="157"/>
      <c r="G43" s="153">
        <f>C43-E43</f>
        <v>87588.20869999996</v>
      </c>
    </row>
    <row r="45" spans="3:5" ht="12.75">
      <c r="C45" s="146">
        <v>0</v>
      </c>
      <c r="E45" s="127">
        <v>0</v>
      </c>
    </row>
    <row r="48" spans="5:6" ht="12.75">
      <c r="E48" s="146"/>
      <c r="F48" s="146"/>
    </row>
    <row r="49" spans="5:6" ht="12.75">
      <c r="E49" s="146"/>
      <c r="F49" s="146"/>
    </row>
    <row r="50" spans="5:6" ht="12.75">
      <c r="E50" s="146"/>
      <c r="F50" s="146"/>
    </row>
    <row r="52" spans="5:6" ht="12.75">
      <c r="E52" s="146"/>
      <c r="F52" s="146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  <oddFooter>&amp;CPage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W39"/>
  <sheetViews>
    <sheetView zoomScale="80" zoomScaleNormal="80" workbookViewId="0" topLeftCell="A5">
      <pane xSplit="2" ySplit="5" topLeftCell="C10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A55" sqref="A55"/>
    </sheetView>
  </sheetViews>
  <sheetFormatPr defaultColWidth="9.140625" defaultRowHeight="12.75"/>
  <cols>
    <col min="1" max="1" width="18.7109375" style="2" customWidth="1"/>
    <col min="2" max="2" width="29.7109375" style="2" bestFit="1" customWidth="1"/>
    <col min="3" max="3" width="12.28125" style="2" bestFit="1" customWidth="1"/>
    <col min="4" max="4" width="3.57421875" style="2" customWidth="1"/>
    <col min="5" max="5" width="13.8515625" style="2" bestFit="1" customWidth="1"/>
    <col min="6" max="6" width="4.421875" style="2" customWidth="1"/>
    <col min="7" max="7" width="10.7109375" style="2" customWidth="1"/>
    <col min="8" max="8" width="4.00390625" style="2" customWidth="1"/>
    <col min="9" max="9" width="11.140625" style="2" customWidth="1"/>
    <col min="10" max="10" width="3.421875" style="2" customWidth="1"/>
    <col min="11" max="11" width="11.140625" style="2" customWidth="1"/>
    <col min="12" max="12" width="4.28125" style="2" customWidth="1"/>
    <col min="13" max="13" width="10.7109375" style="2" customWidth="1"/>
    <col min="14" max="14" width="4.421875" style="2" customWidth="1"/>
    <col min="15" max="15" width="10.7109375" style="2" customWidth="1"/>
    <col min="16" max="16" width="3.8515625" style="2" customWidth="1"/>
    <col min="17" max="17" width="10.7109375" style="2" customWidth="1"/>
    <col min="18" max="18" width="5.7109375" style="2" customWidth="1"/>
    <col min="19" max="19" width="11.7109375" style="146" customWidth="1"/>
    <col min="20" max="20" width="4.8515625" style="146" customWidth="1"/>
    <col min="21" max="21" width="11.57421875" style="127" customWidth="1"/>
    <col min="22" max="22" width="4.140625" style="127" customWidth="1"/>
    <col min="23" max="23" width="10.00390625" style="146" customWidth="1"/>
    <col min="24" max="16384" width="9.140625" style="2" customWidth="1"/>
  </cols>
  <sheetData>
    <row r="1" spans="1:23" s="1" customFormat="1" ht="12.75">
      <c r="A1" s="126" t="s">
        <v>34</v>
      </c>
      <c r="S1" s="127"/>
      <c r="T1" s="127"/>
      <c r="U1" s="127"/>
      <c r="V1" s="127"/>
      <c r="W1" s="127"/>
    </row>
    <row r="2" spans="1:23" s="1" customFormat="1" ht="12.75">
      <c r="A2" s="126" t="str">
        <f>'DETAILED SUMMARY'!A3</f>
        <v>BUDGET FOR YEAR TO 31 MARCH 2010</v>
      </c>
      <c r="S2" s="127"/>
      <c r="T2" s="127"/>
      <c r="U2" s="127"/>
      <c r="V2" s="127"/>
      <c r="W2" s="127"/>
    </row>
    <row r="3" spans="19:23" s="1" customFormat="1" ht="12.75">
      <c r="S3" s="127"/>
      <c r="T3" s="127"/>
      <c r="U3" s="127"/>
      <c r="V3" s="127"/>
      <c r="W3" s="127"/>
    </row>
    <row r="4" spans="1:18" s="1" customFormat="1" ht="12.75">
      <c r="A4" s="128" t="s">
        <v>35</v>
      </c>
      <c r="B4" s="128" t="s">
        <v>425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23" s="1" customFormat="1" ht="12.75">
      <c r="A5" s="129" t="s">
        <v>36</v>
      </c>
      <c r="B5" s="128" t="s">
        <v>424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W5" s="127"/>
    </row>
    <row r="6" spans="1:23" s="1" customFormat="1" ht="12.75">
      <c r="A6" s="128" t="s">
        <v>37</v>
      </c>
      <c r="B6" s="128" t="s">
        <v>456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W6" s="130"/>
    </row>
    <row r="7" spans="2:23" s="1" customFormat="1" ht="12.75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0"/>
      <c r="T7" s="130"/>
      <c r="U7" s="130"/>
      <c r="V7" s="130"/>
      <c r="W7" s="130"/>
    </row>
    <row r="8" spans="3:23" s="136" customFormat="1" ht="84" customHeight="1">
      <c r="C8" s="346" t="s">
        <v>457</v>
      </c>
      <c r="D8" s="275"/>
      <c r="E8" s="344" t="s">
        <v>463</v>
      </c>
      <c r="F8" s="275"/>
      <c r="G8" s="344" t="s">
        <v>458</v>
      </c>
      <c r="H8" s="275"/>
      <c r="I8" s="276" t="s">
        <v>550</v>
      </c>
      <c r="J8" s="275"/>
      <c r="K8" s="276" t="s">
        <v>551</v>
      </c>
      <c r="L8" s="275"/>
      <c r="M8" s="338" t="s">
        <v>552</v>
      </c>
      <c r="N8" s="275"/>
      <c r="O8" s="277" t="s">
        <v>553</v>
      </c>
      <c r="P8" s="275"/>
      <c r="Q8" s="277" t="s">
        <v>555</v>
      </c>
      <c r="R8" s="198"/>
      <c r="S8" s="265" t="s">
        <v>459</v>
      </c>
      <c r="T8" s="133"/>
      <c r="U8" s="133" t="s">
        <v>476</v>
      </c>
      <c r="V8" s="133"/>
      <c r="W8" s="133"/>
    </row>
    <row r="9" spans="1:23" s="136" customFormat="1" ht="12.75">
      <c r="A9" s="136" t="s">
        <v>48</v>
      </c>
      <c r="B9" s="270" t="s">
        <v>472</v>
      </c>
      <c r="C9" s="271" t="s">
        <v>554</v>
      </c>
      <c r="D9" s="272"/>
      <c r="E9" s="273" t="s">
        <v>554</v>
      </c>
      <c r="F9" s="272"/>
      <c r="G9" s="273" t="s">
        <v>554</v>
      </c>
      <c r="H9" s="272"/>
      <c r="I9" s="273" t="s">
        <v>461</v>
      </c>
      <c r="J9" s="272"/>
      <c r="K9" s="273" t="s">
        <v>462</v>
      </c>
      <c r="L9" s="272"/>
      <c r="M9" s="274" t="s">
        <v>462</v>
      </c>
      <c r="N9" s="272"/>
      <c r="O9" s="274" t="s">
        <v>460</v>
      </c>
      <c r="P9" s="272"/>
      <c r="Q9" s="274" t="s">
        <v>556</v>
      </c>
      <c r="R9" s="270"/>
      <c r="S9" s="139" t="s">
        <v>494</v>
      </c>
      <c r="T9" s="139"/>
      <c r="U9" s="160" t="s">
        <v>279</v>
      </c>
      <c r="V9" s="160"/>
      <c r="W9" s="160" t="s">
        <v>39</v>
      </c>
    </row>
    <row r="10" spans="4:23" s="136" customFormat="1" ht="12.75">
      <c r="D10" s="266"/>
      <c r="F10" s="266"/>
      <c r="H10" s="266"/>
      <c r="J10" s="266"/>
      <c r="L10" s="266"/>
      <c r="N10" s="266"/>
      <c r="P10" s="266"/>
      <c r="S10" s="144" t="s">
        <v>40</v>
      </c>
      <c r="T10" s="144"/>
      <c r="U10" s="144" t="s">
        <v>40</v>
      </c>
      <c r="V10" s="144"/>
      <c r="W10" s="144" t="s">
        <v>40</v>
      </c>
    </row>
    <row r="11" spans="4:23" s="136" customFormat="1" ht="12.75">
      <c r="D11" s="266"/>
      <c r="F11" s="266"/>
      <c r="H11" s="266"/>
      <c r="J11" s="266"/>
      <c r="L11" s="266"/>
      <c r="N11" s="266"/>
      <c r="P11" s="266"/>
      <c r="S11" s="183"/>
      <c r="T11" s="144"/>
      <c r="U11" s="144"/>
      <c r="W11" s="144"/>
    </row>
    <row r="12" spans="1:23" ht="12.75">
      <c r="A12" s="152"/>
      <c r="B12" s="149" t="s">
        <v>21</v>
      </c>
      <c r="C12" s="75">
        <v>8000</v>
      </c>
      <c r="D12" s="267"/>
      <c r="E12" s="259">
        <v>0</v>
      </c>
      <c r="F12" s="267"/>
      <c r="G12" s="259">
        <v>0</v>
      </c>
      <c r="H12" s="267"/>
      <c r="I12" s="75">
        <v>1000</v>
      </c>
      <c r="J12" s="267"/>
      <c r="K12" s="259">
        <v>0</v>
      </c>
      <c r="L12" s="267"/>
      <c r="M12" s="75">
        <v>5400</v>
      </c>
      <c r="N12" s="267"/>
      <c r="O12" s="259">
        <v>0</v>
      </c>
      <c r="P12" s="267"/>
      <c r="Q12" s="259">
        <v>0</v>
      </c>
      <c r="R12" s="259"/>
      <c r="S12" s="260">
        <f>SUM(C12:Q12)</f>
        <v>14400</v>
      </c>
      <c r="U12" s="151">
        <v>0</v>
      </c>
      <c r="V12" s="147"/>
      <c r="W12" s="146">
        <f>S12-U12</f>
        <v>14400</v>
      </c>
    </row>
    <row r="13" spans="1:23" ht="12.75">
      <c r="A13" s="145"/>
      <c r="B13" s="1" t="s">
        <v>42</v>
      </c>
      <c r="C13" s="261">
        <f aca="true" t="shared" si="0" ref="C13:M13">SUM(C12:C12)</f>
        <v>8000</v>
      </c>
      <c r="D13" s="268"/>
      <c r="E13" s="261">
        <f t="shared" si="0"/>
        <v>0</v>
      </c>
      <c r="F13" s="268"/>
      <c r="G13" s="261">
        <f t="shared" si="0"/>
        <v>0</v>
      </c>
      <c r="H13" s="268"/>
      <c r="I13" s="261">
        <f t="shared" si="0"/>
        <v>1000</v>
      </c>
      <c r="J13" s="268"/>
      <c r="K13" s="261">
        <f t="shared" si="0"/>
        <v>0</v>
      </c>
      <c r="L13" s="268"/>
      <c r="M13" s="261">
        <f t="shared" si="0"/>
        <v>5400</v>
      </c>
      <c r="N13" s="268"/>
      <c r="O13" s="261">
        <f>SUM(O12:O12)</f>
        <v>0</v>
      </c>
      <c r="P13" s="268"/>
      <c r="Q13" s="261">
        <f>SUM(Q12:Q12)</f>
        <v>0</v>
      </c>
      <c r="R13" s="261"/>
      <c r="S13" s="261">
        <f>SUM(S12:S12)</f>
        <v>14400</v>
      </c>
      <c r="T13" s="153"/>
      <c r="U13" s="123">
        <f>SUM(U12:U12)</f>
        <v>0</v>
      </c>
      <c r="V13" s="154"/>
      <c r="W13" s="153">
        <f>SUM(W12:W12)</f>
        <v>14400</v>
      </c>
    </row>
    <row r="14" spans="1:22" ht="12.75">
      <c r="A14" s="145"/>
      <c r="C14" s="262"/>
      <c r="D14" s="267"/>
      <c r="E14" s="262"/>
      <c r="F14" s="267"/>
      <c r="G14" s="262"/>
      <c r="H14" s="267"/>
      <c r="I14" s="262"/>
      <c r="J14" s="267"/>
      <c r="K14" s="262"/>
      <c r="L14" s="267"/>
      <c r="M14" s="262"/>
      <c r="N14" s="267"/>
      <c r="O14" s="262"/>
      <c r="P14" s="267"/>
      <c r="Q14" s="262"/>
      <c r="R14" s="262"/>
      <c r="S14" s="260"/>
      <c r="U14" s="151"/>
      <c r="V14" s="147"/>
    </row>
    <row r="15" spans="1:23" ht="12.75">
      <c r="A15" s="145"/>
      <c r="B15" s="2" t="s">
        <v>14</v>
      </c>
      <c r="C15" s="44">
        <v>0</v>
      </c>
      <c r="D15" s="269"/>
      <c r="E15" s="44">
        <v>500</v>
      </c>
      <c r="F15" s="269"/>
      <c r="G15" s="44">
        <v>1000</v>
      </c>
      <c r="H15" s="269"/>
      <c r="I15" s="262">
        <f>0</f>
        <v>0</v>
      </c>
      <c r="J15" s="267"/>
      <c r="K15" s="44">
        <v>4500</v>
      </c>
      <c r="L15" s="269"/>
      <c r="M15" s="44">
        <v>6000</v>
      </c>
      <c r="N15" s="269"/>
      <c r="O15" s="262">
        <v>0</v>
      </c>
      <c r="P15" s="269"/>
      <c r="Q15" s="262">
        <v>0</v>
      </c>
      <c r="R15" s="262"/>
      <c r="S15" s="260">
        <f>SUM(C15:Q15)</f>
        <v>12000</v>
      </c>
      <c r="U15" s="151">
        <v>4350</v>
      </c>
      <c r="V15" s="184"/>
      <c r="W15" s="146">
        <f>S15-U15</f>
        <v>7650</v>
      </c>
    </row>
    <row r="16" spans="1:23" ht="12.75">
      <c r="A16" s="145"/>
      <c r="B16" s="1" t="s">
        <v>14</v>
      </c>
      <c r="C16" s="261">
        <f aca="true" t="shared" si="1" ref="C16:M16">SUM(C15)</f>
        <v>0</v>
      </c>
      <c r="D16" s="268"/>
      <c r="E16" s="261">
        <f t="shared" si="1"/>
        <v>500</v>
      </c>
      <c r="F16" s="268"/>
      <c r="G16" s="261">
        <f t="shared" si="1"/>
        <v>1000</v>
      </c>
      <c r="H16" s="268"/>
      <c r="I16" s="261">
        <f t="shared" si="1"/>
        <v>0</v>
      </c>
      <c r="J16" s="268"/>
      <c r="K16" s="261">
        <f t="shared" si="1"/>
        <v>4500</v>
      </c>
      <c r="L16" s="268"/>
      <c r="M16" s="261">
        <f t="shared" si="1"/>
        <v>6000</v>
      </c>
      <c r="N16" s="268"/>
      <c r="O16" s="261">
        <f>SUM(O15)</f>
        <v>0</v>
      </c>
      <c r="P16" s="268"/>
      <c r="Q16" s="261">
        <f>SUM(Q15)</f>
        <v>0</v>
      </c>
      <c r="R16" s="261"/>
      <c r="S16" s="261">
        <f>SUM(S15)</f>
        <v>12000</v>
      </c>
      <c r="T16" s="153"/>
      <c r="U16" s="123">
        <f>SUM(U15)</f>
        <v>4350</v>
      </c>
      <c r="V16" s="154"/>
      <c r="W16" s="153">
        <f>SUM(W15)</f>
        <v>7650</v>
      </c>
    </row>
    <row r="17" spans="1:22" ht="12.75">
      <c r="A17" s="145"/>
      <c r="C17" s="262"/>
      <c r="D17" s="267"/>
      <c r="E17" s="262"/>
      <c r="F17" s="267"/>
      <c r="G17" s="262"/>
      <c r="H17" s="267"/>
      <c r="I17" s="262"/>
      <c r="J17" s="267"/>
      <c r="K17" s="262"/>
      <c r="L17" s="267"/>
      <c r="M17" s="262"/>
      <c r="N17" s="267"/>
      <c r="O17" s="262"/>
      <c r="P17" s="267"/>
      <c r="Q17" s="262"/>
      <c r="R17" s="262"/>
      <c r="S17" s="260"/>
      <c r="U17" s="151"/>
      <c r="V17" s="147"/>
    </row>
    <row r="18" spans="1:23" ht="12.75">
      <c r="A18" s="145"/>
      <c r="B18" s="2" t="s">
        <v>265</v>
      </c>
      <c r="C18" s="44">
        <v>79551.96125000001</v>
      </c>
      <c r="D18" s="269"/>
      <c r="E18" s="44">
        <v>0</v>
      </c>
      <c r="F18" s="269"/>
      <c r="G18" s="44">
        <v>2000</v>
      </c>
      <c r="H18" s="269"/>
      <c r="I18" s="262">
        <v>0</v>
      </c>
      <c r="J18" s="267"/>
      <c r="K18" s="44">
        <v>2000</v>
      </c>
      <c r="L18" s="269"/>
      <c r="M18" s="262">
        <f>0</f>
        <v>0</v>
      </c>
      <c r="N18" s="269"/>
      <c r="O18" s="262">
        <f>0</f>
        <v>0</v>
      </c>
      <c r="P18" s="269"/>
      <c r="Q18" s="44">
        <v>68500</v>
      </c>
      <c r="R18" s="262"/>
      <c r="S18" s="260">
        <f>SUM(C18:Q18)</f>
        <v>152051.96125</v>
      </c>
      <c r="U18" s="151">
        <v>20800</v>
      </c>
      <c r="V18" s="147"/>
      <c r="W18" s="146">
        <f>S18-U18</f>
        <v>131251.96125</v>
      </c>
    </row>
    <row r="19" spans="1:23" ht="12.75">
      <c r="A19" s="145"/>
      <c r="B19" s="1" t="s">
        <v>23</v>
      </c>
      <c r="C19" s="261">
        <f aca="true" t="shared" si="2" ref="C19:M19">SUM(C18)</f>
        <v>79551.96125000001</v>
      </c>
      <c r="D19" s="268"/>
      <c r="E19" s="261">
        <f t="shared" si="2"/>
        <v>0</v>
      </c>
      <c r="F19" s="268"/>
      <c r="G19" s="261">
        <f t="shared" si="2"/>
        <v>2000</v>
      </c>
      <c r="H19" s="268"/>
      <c r="I19" s="261">
        <f t="shared" si="2"/>
        <v>0</v>
      </c>
      <c r="J19" s="268"/>
      <c r="K19" s="261">
        <f t="shared" si="2"/>
        <v>2000</v>
      </c>
      <c r="L19" s="268"/>
      <c r="M19" s="261">
        <f t="shared" si="2"/>
        <v>0</v>
      </c>
      <c r="N19" s="268"/>
      <c r="O19" s="261">
        <f>SUM(O18)</f>
        <v>0</v>
      </c>
      <c r="P19" s="268"/>
      <c r="Q19" s="261">
        <f>SUM(Q18)</f>
        <v>68500</v>
      </c>
      <c r="R19" s="261"/>
      <c r="S19" s="261">
        <f>SUM(S18)</f>
        <v>152051.96125</v>
      </c>
      <c r="T19" s="153"/>
      <c r="U19" s="123">
        <f>SUM(U18)</f>
        <v>20800</v>
      </c>
      <c r="V19" s="154"/>
      <c r="W19" s="153">
        <f>SUM(W18)</f>
        <v>131251.96125</v>
      </c>
    </row>
    <row r="20" spans="1:22" ht="12.75">
      <c r="A20" s="145"/>
      <c r="C20" s="262"/>
      <c r="D20" s="267"/>
      <c r="E20" s="262"/>
      <c r="F20" s="267"/>
      <c r="G20" s="262"/>
      <c r="H20" s="267"/>
      <c r="I20" s="262"/>
      <c r="J20" s="267"/>
      <c r="K20" s="262"/>
      <c r="L20" s="267"/>
      <c r="M20" s="262"/>
      <c r="N20" s="267"/>
      <c r="O20" s="262"/>
      <c r="P20" s="267"/>
      <c r="Q20" s="262"/>
      <c r="R20" s="262"/>
      <c r="S20" s="260"/>
      <c r="U20" s="151"/>
      <c r="V20" s="147"/>
    </row>
    <row r="21" spans="1:23" ht="12.75">
      <c r="A21" s="145"/>
      <c r="B21" s="2" t="s">
        <v>266</v>
      </c>
      <c r="C21" s="44">
        <v>30000</v>
      </c>
      <c r="D21" s="269"/>
      <c r="E21" s="44">
        <v>14150</v>
      </c>
      <c r="F21" s="269"/>
      <c r="G21" s="44">
        <v>6020</v>
      </c>
      <c r="H21" s="269"/>
      <c r="I21" s="44">
        <v>0</v>
      </c>
      <c r="J21" s="269"/>
      <c r="K21" s="44">
        <v>0</v>
      </c>
      <c r="L21" s="269"/>
      <c r="M21" s="262">
        <v>0</v>
      </c>
      <c r="N21" s="269"/>
      <c r="O21" s="262">
        <v>0</v>
      </c>
      <c r="P21" s="269"/>
      <c r="Q21" s="262">
        <v>0</v>
      </c>
      <c r="R21" s="262"/>
      <c r="S21" s="260">
        <f>SUM(C21:Q21)</f>
        <v>50170</v>
      </c>
      <c r="U21" s="151">
        <v>8020</v>
      </c>
      <c r="V21" s="147"/>
      <c r="W21" s="146">
        <f>S21-U21</f>
        <v>42150</v>
      </c>
    </row>
    <row r="22" spans="1:23" ht="12.75">
      <c r="A22" s="145"/>
      <c r="B22" s="1" t="s">
        <v>132</v>
      </c>
      <c r="C22" s="261">
        <f aca="true" t="shared" si="3" ref="C22:M22">SUM(C21)</f>
        <v>30000</v>
      </c>
      <c r="D22" s="268"/>
      <c r="E22" s="261">
        <f t="shared" si="3"/>
        <v>14150</v>
      </c>
      <c r="F22" s="268"/>
      <c r="G22" s="261">
        <f t="shared" si="3"/>
        <v>6020</v>
      </c>
      <c r="H22" s="268"/>
      <c r="I22" s="261">
        <f t="shared" si="3"/>
        <v>0</v>
      </c>
      <c r="J22" s="268"/>
      <c r="K22" s="261">
        <f t="shared" si="3"/>
        <v>0</v>
      </c>
      <c r="L22" s="268"/>
      <c r="M22" s="261">
        <f t="shared" si="3"/>
        <v>0</v>
      </c>
      <c r="N22" s="268"/>
      <c r="O22" s="261">
        <f>SUM(O21)</f>
        <v>0</v>
      </c>
      <c r="P22" s="268"/>
      <c r="Q22" s="261">
        <f>SUM(Q21)</f>
        <v>0</v>
      </c>
      <c r="R22" s="261"/>
      <c r="S22" s="261">
        <f>SUM(S21)</f>
        <v>50170</v>
      </c>
      <c r="T22" s="153"/>
      <c r="U22" s="123">
        <f>SUM(U21)</f>
        <v>8020</v>
      </c>
      <c r="V22" s="154"/>
      <c r="W22" s="153">
        <f>SUM(W21)</f>
        <v>42150</v>
      </c>
    </row>
    <row r="23" spans="1:22" ht="12.75">
      <c r="A23" s="145"/>
      <c r="C23" s="262"/>
      <c r="D23" s="267"/>
      <c r="E23" s="262"/>
      <c r="F23" s="267"/>
      <c r="G23" s="262"/>
      <c r="H23" s="267"/>
      <c r="I23" s="262"/>
      <c r="J23" s="267"/>
      <c r="K23" s="262"/>
      <c r="L23" s="267"/>
      <c r="M23" s="262"/>
      <c r="N23" s="267"/>
      <c r="O23" s="262"/>
      <c r="P23" s="267"/>
      <c r="Q23" s="262"/>
      <c r="R23" s="262"/>
      <c r="S23" s="260"/>
      <c r="U23" s="151"/>
      <c r="V23" s="147"/>
    </row>
    <row r="24" spans="1:23" ht="12.75">
      <c r="A24" s="145"/>
      <c r="B24" s="2" t="s">
        <v>270</v>
      </c>
      <c r="C24" s="44">
        <v>0</v>
      </c>
      <c r="D24" s="269"/>
      <c r="E24" s="44">
        <v>69230</v>
      </c>
      <c r="F24" s="269"/>
      <c r="G24" s="44">
        <v>0</v>
      </c>
      <c r="H24" s="269"/>
      <c r="I24" s="44">
        <v>2000</v>
      </c>
      <c r="J24" s="269"/>
      <c r="K24" s="44">
        <v>11725</v>
      </c>
      <c r="L24" s="269"/>
      <c r="M24" s="262">
        <f>0</f>
        <v>0</v>
      </c>
      <c r="N24" s="269"/>
      <c r="O24" s="262">
        <f>0</f>
        <v>0</v>
      </c>
      <c r="P24" s="269"/>
      <c r="Q24" s="262">
        <f>0</f>
        <v>0</v>
      </c>
      <c r="R24" s="262"/>
      <c r="S24" s="260">
        <f>SUM(C24:Q24)</f>
        <v>82955</v>
      </c>
      <c r="U24" s="151">
        <v>14183</v>
      </c>
      <c r="V24" s="147"/>
      <c r="W24" s="146">
        <f>S24-U24</f>
        <v>68772</v>
      </c>
    </row>
    <row r="25" spans="1:23" ht="12.75">
      <c r="A25" s="145"/>
      <c r="B25" s="1" t="s">
        <v>29</v>
      </c>
      <c r="C25" s="261">
        <f>SUM(C24:C24)</f>
        <v>0</v>
      </c>
      <c r="D25" s="268"/>
      <c r="E25" s="261">
        <f>SUM(E24:E24)</f>
        <v>69230</v>
      </c>
      <c r="F25" s="268"/>
      <c r="G25" s="261">
        <f>SUM(G24:G24)</f>
        <v>0</v>
      </c>
      <c r="H25" s="268"/>
      <c r="I25" s="261">
        <f>SUM(I24:I24)</f>
        <v>2000</v>
      </c>
      <c r="J25" s="268"/>
      <c r="K25" s="261">
        <f>SUM(K24:K24)</f>
        <v>11725</v>
      </c>
      <c r="L25" s="268"/>
      <c r="M25" s="261">
        <f>SUM(M24:M24)</f>
        <v>0</v>
      </c>
      <c r="N25" s="268"/>
      <c r="O25" s="261">
        <f>SUM(O24:O24)</f>
        <v>0</v>
      </c>
      <c r="P25" s="268"/>
      <c r="Q25" s="261">
        <f>SUM(Q24:Q24)</f>
        <v>0</v>
      </c>
      <c r="R25" s="261"/>
      <c r="S25" s="261">
        <f>SUM(S24:S24)</f>
        <v>82955</v>
      </c>
      <c r="T25" s="153"/>
      <c r="U25" s="123">
        <f>SUM(U24:U24)</f>
        <v>14183</v>
      </c>
      <c r="V25" s="154"/>
      <c r="W25" s="153">
        <f>SUM(W24:W24)</f>
        <v>68772</v>
      </c>
    </row>
    <row r="26" spans="1:23" ht="12.75">
      <c r="A26" s="145"/>
      <c r="B26" s="1"/>
      <c r="C26" s="136"/>
      <c r="D26" s="266"/>
      <c r="E26" s="136"/>
      <c r="F26" s="266"/>
      <c r="G26" s="136"/>
      <c r="H26" s="266"/>
      <c r="I26" s="136"/>
      <c r="J26" s="266"/>
      <c r="K26" s="136"/>
      <c r="L26" s="266"/>
      <c r="M26" s="136"/>
      <c r="N26" s="266"/>
      <c r="O26" s="136"/>
      <c r="P26" s="266"/>
      <c r="Q26" s="136"/>
      <c r="R26" s="136"/>
      <c r="S26" s="263"/>
      <c r="T26" s="155"/>
      <c r="U26" s="150"/>
      <c r="V26" s="124"/>
      <c r="W26" s="155"/>
    </row>
    <row r="27" spans="1:23" ht="12.75">
      <c r="A27" s="145"/>
      <c r="B27" s="2" t="s">
        <v>426</v>
      </c>
      <c r="C27" s="44">
        <v>0</v>
      </c>
      <c r="D27" s="269"/>
      <c r="E27" s="44">
        <v>49880</v>
      </c>
      <c r="F27" s="269"/>
      <c r="G27" s="44">
        <v>18290</v>
      </c>
      <c r="H27" s="269"/>
      <c r="I27" s="44">
        <v>0</v>
      </c>
      <c r="J27" s="269"/>
      <c r="K27" s="44">
        <v>0</v>
      </c>
      <c r="L27" s="269"/>
      <c r="M27" s="262">
        <f>0</f>
        <v>0</v>
      </c>
      <c r="N27" s="269"/>
      <c r="O27" s="262">
        <f>0</f>
        <v>0</v>
      </c>
      <c r="P27" s="269"/>
      <c r="Q27" s="262">
        <f>0</f>
        <v>0</v>
      </c>
      <c r="R27" s="262"/>
      <c r="S27" s="263">
        <f>SUM(C27:Q27)</f>
        <v>68170</v>
      </c>
      <c r="T27" s="155"/>
      <c r="U27" s="150">
        <v>56025</v>
      </c>
      <c r="V27" s="124"/>
      <c r="W27" s="146">
        <f>S27-U27</f>
        <v>12145</v>
      </c>
    </row>
    <row r="28" spans="1:23" ht="12.75">
      <c r="A28" s="145"/>
      <c r="B28" s="1" t="s">
        <v>168</v>
      </c>
      <c r="C28" s="261">
        <f aca="true" t="shared" si="4" ref="C28:M28">SUM(C26:C27)</f>
        <v>0</v>
      </c>
      <c r="D28" s="268"/>
      <c r="E28" s="261">
        <f t="shared" si="4"/>
        <v>49880</v>
      </c>
      <c r="F28" s="268"/>
      <c r="G28" s="261">
        <f t="shared" si="4"/>
        <v>18290</v>
      </c>
      <c r="H28" s="268"/>
      <c r="I28" s="261">
        <f t="shared" si="4"/>
        <v>0</v>
      </c>
      <c r="J28" s="268"/>
      <c r="K28" s="261">
        <f t="shared" si="4"/>
        <v>0</v>
      </c>
      <c r="L28" s="268"/>
      <c r="M28" s="261">
        <f t="shared" si="4"/>
        <v>0</v>
      </c>
      <c r="N28" s="268"/>
      <c r="O28" s="261">
        <f>SUM(O26:O27)</f>
        <v>0</v>
      </c>
      <c r="P28" s="268"/>
      <c r="Q28" s="261">
        <f>SUM(Q26:Q27)</f>
        <v>0</v>
      </c>
      <c r="R28" s="261"/>
      <c r="S28" s="261">
        <f>SUM(S27)</f>
        <v>68170</v>
      </c>
      <c r="T28" s="153"/>
      <c r="U28" s="123">
        <f>SUM(U27)</f>
        <v>56025</v>
      </c>
      <c r="V28" s="154"/>
      <c r="W28" s="153">
        <f>SUM(W26:W27)</f>
        <v>12145</v>
      </c>
    </row>
    <row r="29" spans="1:22" ht="12" customHeight="1">
      <c r="A29" s="145"/>
      <c r="C29" s="262"/>
      <c r="D29" s="267"/>
      <c r="E29" s="262"/>
      <c r="F29" s="267"/>
      <c r="G29" s="262"/>
      <c r="H29" s="267"/>
      <c r="I29" s="262"/>
      <c r="J29" s="267"/>
      <c r="K29" s="262"/>
      <c r="L29" s="267"/>
      <c r="M29" s="262"/>
      <c r="N29" s="267"/>
      <c r="O29" s="262"/>
      <c r="P29" s="267"/>
      <c r="Q29" s="262"/>
      <c r="R29" s="262"/>
      <c r="S29" s="260"/>
      <c r="U29" s="151"/>
      <c r="V29" s="147"/>
    </row>
    <row r="30" spans="1:23" ht="12.75">
      <c r="A30" s="145"/>
      <c r="B30" s="2" t="s">
        <v>22</v>
      </c>
      <c r="C30" s="262">
        <v>0</v>
      </c>
      <c r="D30" s="267"/>
      <c r="E30" s="262">
        <v>0</v>
      </c>
      <c r="F30" s="267"/>
      <c r="G30" s="262">
        <v>0</v>
      </c>
      <c r="H30" s="267"/>
      <c r="I30" s="44">
        <v>5000</v>
      </c>
      <c r="J30" s="267"/>
      <c r="K30" s="262">
        <v>0</v>
      </c>
      <c r="L30" s="267"/>
      <c r="M30" s="262">
        <v>0</v>
      </c>
      <c r="N30" s="267"/>
      <c r="O30" s="262">
        <v>0</v>
      </c>
      <c r="P30" s="267"/>
      <c r="Q30" s="262">
        <v>0</v>
      </c>
      <c r="R30" s="262"/>
      <c r="S30" s="260">
        <f>SUM(C30:Q30)</f>
        <v>5000</v>
      </c>
      <c r="U30" s="151">
        <v>0</v>
      </c>
      <c r="V30" s="147"/>
      <c r="W30" s="146">
        <f>S30-U30</f>
        <v>5000</v>
      </c>
    </row>
    <row r="31" spans="1:23" ht="12.75">
      <c r="A31" s="145"/>
      <c r="B31" s="2" t="s">
        <v>226</v>
      </c>
      <c r="C31" s="44">
        <v>10000</v>
      </c>
      <c r="D31" s="269"/>
      <c r="E31" s="44">
        <v>10000</v>
      </c>
      <c r="F31" s="269"/>
      <c r="G31" s="44">
        <v>0</v>
      </c>
      <c r="H31" s="269"/>
      <c r="I31" s="44">
        <v>0</v>
      </c>
      <c r="J31" s="269"/>
      <c r="K31" s="44">
        <v>5000</v>
      </c>
      <c r="L31" s="269"/>
      <c r="M31" s="44">
        <v>0</v>
      </c>
      <c r="N31" s="269"/>
      <c r="O31" s="44">
        <v>0</v>
      </c>
      <c r="P31" s="269"/>
      <c r="Q31" s="44">
        <v>0</v>
      </c>
      <c r="R31" s="44"/>
      <c r="S31" s="260">
        <f>SUM(C31:Q31)</f>
        <v>25000</v>
      </c>
      <c r="U31" s="151">
        <v>43117</v>
      </c>
      <c r="V31" s="147"/>
      <c r="W31" s="146">
        <f>S31-U31</f>
        <v>-18117</v>
      </c>
    </row>
    <row r="32" spans="1:23" ht="12.75">
      <c r="A32" s="145"/>
      <c r="B32" s="2" t="s">
        <v>82</v>
      </c>
      <c r="C32" s="44">
        <v>0</v>
      </c>
      <c r="D32" s="269"/>
      <c r="E32" s="262">
        <v>0</v>
      </c>
      <c r="F32" s="267"/>
      <c r="G32" s="262">
        <v>0</v>
      </c>
      <c r="H32" s="267"/>
      <c r="I32" s="262">
        <v>0</v>
      </c>
      <c r="J32" s="267"/>
      <c r="K32" s="262">
        <v>0</v>
      </c>
      <c r="L32" s="267"/>
      <c r="M32" s="262">
        <v>0</v>
      </c>
      <c r="N32" s="267"/>
      <c r="O32" s="262">
        <v>0</v>
      </c>
      <c r="P32" s="267"/>
      <c r="Q32" s="262">
        <v>0</v>
      </c>
      <c r="R32" s="262"/>
      <c r="S32" s="260">
        <f>SUM(C32:Q32)</f>
        <v>0</v>
      </c>
      <c r="U32" s="151">
        <v>0</v>
      </c>
      <c r="V32" s="147"/>
      <c r="W32" s="146">
        <f>S32-U32</f>
        <v>0</v>
      </c>
    </row>
    <row r="33" spans="1:23" ht="12.75">
      <c r="A33" s="145"/>
      <c r="B33" s="2" t="s">
        <v>268</v>
      </c>
      <c r="C33" s="345">
        <v>0</v>
      </c>
      <c r="D33" s="267"/>
      <c r="E33" s="262">
        <v>0</v>
      </c>
      <c r="F33" s="267"/>
      <c r="G33" s="262">
        <v>0</v>
      </c>
      <c r="H33" s="267"/>
      <c r="I33" s="262">
        <v>0</v>
      </c>
      <c r="J33" s="267"/>
      <c r="K33" s="44">
        <v>0</v>
      </c>
      <c r="L33" s="269"/>
      <c r="M33" s="262">
        <v>0</v>
      </c>
      <c r="N33" s="269"/>
      <c r="O33" s="262">
        <v>0</v>
      </c>
      <c r="P33" s="269"/>
      <c r="Q33" s="262">
        <v>0</v>
      </c>
      <c r="R33" s="262"/>
      <c r="S33" s="260">
        <f>SUM(C33:Q33)</f>
        <v>0</v>
      </c>
      <c r="U33" s="151">
        <v>300</v>
      </c>
      <c r="V33" s="147"/>
      <c r="W33" s="146">
        <f>S33-U33</f>
        <v>-300</v>
      </c>
    </row>
    <row r="34" spans="1:23" ht="12.75">
      <c r="A34" s="145"/>
      <c r="B34" s="2" t="s">
        <v>444</v>
      </c>
      <c r="C34" s="44">
        <v>0</v>
      </c>
      <c r="D34" s="269"/>
      <c r="E34" s="262">
        <f>0</f>
        <v>0</v>
      </c>
      <c r="F34" s="267"/>
      <c r="G34" s="262">
        <v>0</v>
      </c>
      <c r="H34" s="267"/>
      <c r="I34" s="262">
        <v>0</v>
      </c>
      <c r="J34" s="267"/>
      <c r="K34" s="44">
        <v>5000</v>
      </c>
      <c r="L34" s="269"/>
      <c r="M34" s="262">
        <v>0</v>
      </c>
      <c r="N34" s="269"/>
      <c r="O34" s="262">
        <v>0</v>
      </c>
      <c r="P34" s="269"/>
      <c r="Q34" s="44">
        <v>5450</v>
      </c>
      <c r="R34" s="262"/>
      <c r="S34" s="260">
        <f>SUM(C34:Q34)</f>
        <v>10450</v>
      </c>
      <c r="U34" s="151">
        <v>0</v>
      </c>
      <c r="V34" s="147"/>
      <c r="W34" s="146">
        <f>S34-U34</f>
        <v>10450</v>
      </c>
    </row>
    <row r="35" spans="1:23" ht="12" customHeight="1">
      <c r="A35" s="145"/>
      <c r="B35" s="1" t="s">
        <v>267</v>
      </c>
      <c r="C35" s="264">
        <f aca="true" t="shared" si="5" ref="C35:M35">SUM(C30:C34)</f>
        <v>10000</v>
      </c>
      <c r="D35" s="268"/>
      <c r="E35" s="264">
        <f t="shared" si="5"/>
        <v>10000</v>
      </c>
      <c r="F35" s="268"/>
      <c r="G35" s="264">
        <f t="shared" si="5"/>
        <v>0</v>
      </c>
      <c r="H35" s="268"/>
      <c r="I35" s="264">
        <f t="shared" si="5"/>
        <v>5000</v>
      </c>
      <c r="J35" s="268"/>
      <c r="K35" s="264">
        <f t="shared" si="5"/>
        <v>10000</v>
      </c>
      <c r="L35" s="268"/>
      <c r="M35" s="264">
        <f t="shared" si="5"/>
        <v>0</v>
      </c>
      <c r="N35" s="268"/>
      <c r="O35" s="264">
        <f>SUM(O30:O34)</f>
        <v>0</v>
      </c>
      <c r="P35" s="268"/>
      <c r="Q35" s="264">
        <f>SUM(Q30:Q34)</f>
        <v>5450</v>
      </c>
      <c r="R35" s="264"/>
      <c r="S35" s="261">
        <f>SUM(S30:S34)</f>
        <v>40450</v>
      </c>
      <c r="T35" s="166"/>
      <c r="U35" s="123">
        <f>SUM(U30:U34)</f>
        <v>43417</v>
      </c>
      <c r="V35" s="154"/>
      <c r="W35" s="153">
        <f>SUM(W30:W34)</f>
        <v>-2967</v>
      </c>
    </row>
    <row r="36" spans="3:22" ht="12.75">
      <c r="C36" s="262"/>
      <c r="D36" s="267"/>
      <c r="E36" s="262"/>
      <c r="F36" s="267"/>
      <c r="G36" s="262"/>
      <c r="H36" s="267"/>
      <c r="I36" s="262"/>
      <c r="J36" s="267"/>
      <c r="K36" s="262"/>
      <c r="L36" s="267"/>
      <c r="M36" s="262"/>
      <c r="N36" s="267"/>
      <c r="O36" s="262"/>
      <c r="P36" s="267"/>
      <c r="Q36" s="262"/>
      <c r="R36" s="262"/>
      <c r="S36" s="260"/>
      <c r="U36" s="151"/>
      <c r="V36" s="147"/>
    </row>
    <row r="37" spans="2:23" ht="12.75">
      <c r="B37" s="1" t="s">
        <v>88</v>
      </c>
      <c r="C37" s="261">
        <f>C13+C16+C19+C22+C25+C35+C28</f>
        <v>127551.96125000001</v>
      </c>
      <c r="D37" s="268"/>
      <c r="E37" s="261">
        <f>E13+E16+E19+E22+E25+E35+E28</f>
        <v>143760</v>
      </c>
      <c r="F37" s="268"/>
      <c r="G37" s="261">
        <f>G13+G16+G19+G22+G25+G35+G28</f>
        <v>27310</v>
      </c>
      <c r="H37" s="268"/>
      <c r="I37" s="261">
        <f>I13+I16+I19+I22+I25+I35+I28</f>
        <v>8000</v>
      </c>
      <c r="J37" s="268"/>
      <c r="K37" s="261">
        <f>K13+K16+K19+K22+K25+K35+K28</f>
        <v>28225</v>
      </c>
      <c r="L37" s="268"/>
      <c r="M37" s="261">
        <f>M13+M16+M19+M22+M25+M35+M28</f>
        <v>11400</v>
      </c>
      <c r="N37" s="268"/>
      <c r="O37" s="261">
        <f>O13+O16+O19+O22+O25+O35+O28</f>
        <v>0</v>
      </c>
      <c r="P37" s="268"/>
      <c r="Q37" s="261">
        <f>Q13+Q16+Q19+Q22+Q25+Q35+Q28</f>
        <v>73950</v>
      </c>
      <c r="R37" s="261"/>
      <c r="S37" s="261">
        <f>S13+S16+S19+S22+S25+S35+S28</f>
        <v>420196.96125</v>
      </c>
      <c r="T37" s="153"/>
      <c r="U37" s="123">
        <f>U13+U16+U19+U22+U25+U28+U35</f>
        <v>146795</v>
      </c>
      <c r="V37" s="154"/>
      <c r="W37" s="153">
        <f>W13+W16+W19+W22+W25+W35+W28</f>
        <v>273401.96125</v>
      </c>
    </row>
    <row r="38" ht="12.75">
      <c r="H38" s="149"/>
    </row>
    <row r="39" spans="3:21" ht="12.75">
      <c r="C39" s="14">
        <v>0</v>
      </c>
      <c r="E39" s="14">
        <v>0</v>
      </c>
      <c r="G39" s="14">
        <v>0</v>
      </c>
      <c r="I39" s="146">
        <v>0</v>
      </c>
      <c r="K39" s="146">
        <v>0</v>
      </c>
      <c r="M39" s="14">
        <v>-134000</v>
      </c>
      <c r="O39" s="2">
        <v>0</v>
      </c>
      <c r="Q39" s="14">
        <v>0</v>
      </c>
      <c r="S39" s="146">
        <f>S13+S16+S19+S22+S25+S28+S35</f>
        <v>420196.96125</v>
      </c>
      <c r="U39" s="127">
        <v>11.970000000001164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headerFooter alignWithMargins="0">
    <oddHeader>&amp;C&amp;F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N23"/>
  <sheetViews>
    <sheetView workbookViewId="0" topLeftCell="A1">
      <selection activeCell="K43" sqref="K43"/>
    </sheetView>
  </sheetViews>
  <sheetFormatPr defaultColWidth="9.140625" defaultRowHeight="12.75"/>
  <cols>
    <col min="1" max="1" width="31.28125" style="2" customWidth="1"/>
    <col min="2" max="3" width="10.421875" style="2" customWidth="1"/>
    <col min="4" max="4" width="12.421875" style="2" customWidth="1"/>
    <col min="5" max="5" width="10.421875" style="2" customWidth="1"/>
    <col min="6" max="6" width="5.28125" style="2" customWidth="1"/>
    <col min="7" max="7" width="11.00390625" style="285" hidden="1" customWidth="1"/>
    <col min="8" max="8" width="14.140625" style="127" hidden="1" customWidth="1"/>
    <col min="9" max="9" width="11.7109375" style="146" hidden="1" customWidth="1"/>
    <col min="10" max="10" width="9.421875" style="200" hidden="1" customWidth="1"/>
    <col min="11" max="11" width="2.8515625" style="200" customWidth="1"/>
    <col min="12" max="12" width="14.140625" style="2" bestFit="1" customWidth="1"/>
    <col min="13" max="13" width="9.421875" style="2" bestFit="1" customWidth="1"/>
    <col min="14" max="14" width="10.8515625" style="2" bestFit="1" customWidth="1"/>
    <col min="15" max="16384" width="9.140625" style="2" customWidth="1"/>
  </cols>
  <sheetData>
    <row r="1" spans="1:11" s="1" customFormat="1" ht="12.75">
      <c r="A1" s="1" t="s">
        <v>34</v>
      </c>
      <c r="G1" s="279"/>
      <c r="H1" s="127"/>
      <c r="I1" s="127"/>
      <c r="J1" s="196"/>
      <c r="K1" s="196"/>
    </row>
    <row r="2" spans="7:11" s="1" customFormat="1" ht="12.75">
      <c r="G2" s="279"/>
      <c r="H2" s="127"/>
      <c r="I2" s="127"/>
      <c r="J2" s="196"/>
      <c r="K2" s="196"/>
    </row>
    <row r="3" spans="1:11" s="1" customFormat="1" ht="12.75">
      <c r="A3" s="1" t="str">
        <f>'DETAILED SUMMARY'!A3</f>
        <v>BUDGET FOR YEAR TO 31 MARCH 2010</v>
      </c>
      <c r="G3" s="279"/>
      <c r="H3" s="127"/>
      <c r="I3" s="127"/>
      <c r="J3" s="196"/>
      <c r="K3" s="196"/>
    </row>
    <row r="4" spans="7:11" s="1" customFormat="1" ht="12.75">
      <c r="G4" s="279"/>
      <c r="H4" s="127"/>
      <c r="I4" s="127"/>
      <c r="J4" s="196"/>
      <c r="K4" s="196"/>
    </row>
    <row r="5" spans="1:11" s="1" customFormat="1" ht="12.75">
      <c r="A5" s="1" t="s">
        <v>230</v>
      </c>
      <c r="G5" s="279"/>
      <c r="H5" s="127"/>
      <c r="I5" s="127"/>
      <c r="J5" s="196"/>
      <c r="K5" s="196"/>
    </row>
    <row r="6" spans="7:11" s="1" customFormat="1" ht="12.75">
      <c r="G6" s="279"/>
      <c r="H6" s="127"/>
      <c r="I6" s="127"/>
      <c r="J6" s="196"/>
      <c r="K6" s="196"/>
    </row>
    <row r="7" spans="7:11" s="1" customFormat="1" ht="12.75">
      <c r="G7" s="404"/>
      <c r="H7" s="404"/>
      <c r="I7" s="404"/>
      <c r="J7" s="404"/>
      <c r="K7" s="404"/>
    </row>
    <row r="8" spans="7:11" s="1" customFormat="1" ht="12.75">
      <c r="G8" s="279"/>
      <c r="H8" s="127"/>
      <c r="I8" s="127"/>
      <c r="J8" s="196"/>
      <c r="K8" s="196"/>
    </row>
    <row r="9" spans="7:11" s="1" customFormat="1" ht="12.75">
      <c r="G9" s="279"/>
      <c r="H9" s="127"/>
      <c r="I9" s="127"/>
      <c r="J9" s="196"/>
      <c r="K9" s="196"/>
    </row>
    <row r="10" spans="7:11" s="1" customFormat="1" ht="12.75">
      <c r="G10" s="280"/>
      <c r="H10" s="170"/>
      <c r="I10" s="170"/>
      <c r="J10" s="196"/>
      <c r="K10" s="196"/>
    </row>
    <row r="11" spans="2:11" s="1" customFormat="1" ht="12.75">
      <c r="B11" s="136" t="s">
        <v>494</v>
      </c>
      <c r="C11" s="136" t="s">
        <v>279</v>
      </c>
      <c r="G11" s="405" t="s">
        <v>364</v>
      </c>
      <c r="H11" s="405"/>
      <c r="I11" s="405"/>
      <c r="J11" s="405"/>
      <c r="K11" s="196"/>
    </row>
    <row r="12" spans="2:13" s="136" customFormat="1" ht="12.75">
      <c r="B12" s="136" t="s">
        <v>38</v>
      </c>
      <c r="C12" s="136" t="s">
        <v>476</v>
      </c>
      <c r="D12" s="144" t="s">
        <v>39</v>
      </c>
      <c r="E12" s="197" t="s">
        <v>39</v>
      </c>
      <c r="F12" s="197"/>
      <c r="G12" s="281" t="s">
        <v>141</v>
      </c>
      <c r="H12" s="144" t="s">
        <v>38</v>
      </c>
      <c r="I12" s="144" t="s">
        <v>39</v>
      </c>
      <c r="J12" s="197" t="s">
        <v>39</v>
      </c>
      <c r="K12" s="197"/>
      <c r="L12" s="136" t="s">
        <v>38</v>
      </c>
      <c r="M12" s="136" t="s">
        <v>534</v>
      </c>
    </row>
    <row r="13" spans="2:13" s="136" customFormat="1" ht="12.75">
      <c r="B13" s="136" t="s">
        <v>40</v>
      </c>
      <c r="C13" s="136" t="s">
        <v>40</v>
      </c>
      <c r="D13" s="144" t="s">
        <v>40</v>
      </c>
      <c r="E13" s="197" t="s">
        <v>41</v>
      </c>
      <c r="F13" s="197"/>
      <c r="G13" s="282" t="s">
        <v>40</v>
      </c>
      <c r="H13" s="144" t="s">
        <v>40</v>
      </c>
      <c r="I13" s="144" t="s">
        <v>40</v>
      </c>
      <c r="J13" s="197" t="s">
        <v>41</v>
      </c>
      <c r="K13" s="197"/>
      <c r="L13" s="136" t="s">
        <v>279</v>
      </c>
      <c r="M13" s="136" t="s">
        <v>535</v>
      </c>
    </row>
    <row r="14" spans="7:11" s="1" customFormat="1" ht="12.75">
      <c r="G14" s="279"/>
      <c r="H14" s="127"/>
      <c r="I14" s="127"/>
      <c r="J14" s="196"/>
      <c r="K14" s="196"/>
    </row>
    <row r="15" spans="1:11" s="1" customFormat="1" ht="12.75">
      <c r="A15" s="1" t="s">
        <v>231</v>
      </c>
      <c r="G15" s="279"/>
      <c r="H15" s="127"/>
      <c r="I15" s="127"/>
      <c r="J15" s="196"/>
      <c r="K15" s="196"/>
    </row>
    <row r="16" spans="1:14" ht="12.75">
      <c r="A16" s="2" t="s">
        <v>474</v>
      </c>
      <c r="B16" s="283">
        <v>514842</v>
      </c>
      <c r="C16" s="284">
        <v>534476.742606333</v>
      </c>
      <c r="D16" s="146">
        <f>B16-C16</f>
        <v>-19634.74260633299</v>
      </c>
      <c r="E16" s="200">
        <f aca="true" t="shared" si="0" ref="E16:E21">IF(C16=0,0,(D16/C16*100))</f>
        <v>-3.6736383533894745</v>
      </c>
      <c r="G16" s="285">
        <v>308610</v>
      </c>
      <c r="H16" s="151">
        <v>310229</v>
      </c>
      <c r="I16" s="146">
        <v>-1619</v>
      </c>
      <c r="J16" s="200">
        <v>-0.5218725522114309</v>
      </c>
      <c r="L16" s="283">
        <v>325050</v>
      </c>
      <c r="M16" s="349">
        <v>268837.4050000002</v>
      </c>
      <c r="N16" s="14">
        <f aca="true" t="shared" si="1" ref="N16:N21">L16+M16</f>
        <v>593887.4050000003</v>
      </c>
    </row>
    <row r="17" spans="1:14" ht="12.75">
      <c r="A17" s="2" t="s">
        <v>195</v>
      </c>
      <c r="B17" s="283">
        <v>458569.4</v>
      </c>
      <c r="C17" s="284">
        <v>264495</v>
      </c>
      <c r="D17" s="146">
        <f>B17-C17</f>
        <v>194074.40000000002</v>
      </c>
      <c r="E17" s="200">
        <f t="shared" si="0"/>
        <v>73.37545133178321</v>
      </c>
      <c r="G17" s="285">
        <v>197004</v>
      </c>
      <c r="H17" s="151">
        <v>129256</v>
      </c>
      <c r="I17" s="146">
        <v>67748</v>
      </c>
      <c r="J17" s="200">
        <v>52.41381444575107</v>
      </c>
      <c r="L17" s="283">
        <v>264495</v>
      </c>
      <c r="M17" s="349">
        <v>0</v>
      </c>
      <c r="N17" s="14">
        <f t="shared" si="1"/>
        <v>264495</v>
      </c>
    </row>
    <row r="18" spans="1:14" ht="12.75">
      <c r="A18" s="2" t="s">
        <v>196</v>
      </c>
      <c r="B18" s="283">
        <v>936600</v>
      </c>
      <c r="C18" s="284">
        <v>680043.8200183655</v>
      </c>
      <c r="D18" s="146">
        <f>B18-C18</f>
        <v>256556.1799816345</v>
      </c>
      <c r="E18" s="200">
        <f t="shared" si="0"/>
        <v>37.726418861464815</v>
      </c>
      <c r="G18" s="285">
        <v>468493</v>
      </c>
      <c r="H18" s="151">
        <v>790342</v>
      </c>
      <c r="I18" s="146">
        <v>-321849</v>
      </c>
      <c r="J18" s="200">
        <v>0</v>
      </c>
      <c r="L18" s="283">
        <v>839591.8367346938</v>
      </c>
      <c r="M18" s="349">
        <v>-351837.27116400003</v>
      </c>
      <c r="N18" s="14">
        <f t="shared" si="1"/>
        <v>487754.5655706938</v>
      </c>
    </row>
    <row r="19" spans="1:14" ht="12.75">
      <c r="A19" s="2" t="s">
        <v>211</v>
      </c>
      <c r="B19" s="283">
        <v>13508259.330303999</v>
      </c>
      <c r="C19" s="284">
        <v>12217465</v>
      </c>
      <c r="D19" s="146">
        <f>B19-C19</f>
        <v>1290794.3303039987</v>
      </c>
      <c r="E19" s="200">
        <f t="shared" si="0"/>
        <v>10.565156767823757</v>
      </c>
      <c r="G19" s="285">
        <v>6818619</v>
      </c>
      <c r="H19" s="151">
        <v>6866012</v>
      </c>
      <c r="I19" s="146">
        <v>-47393</v>
      </c>
      <c r="J19" s="200">
        <v>-0.6902551291783352</v>
      </c>
      <c r="L19" s="283">
        <v>12300464.866164</v>
      </c>
      <c r="M19" s="349">
        <v>-159548.01671632833</v>
      </c>
      <c r="N19" s="14">
        <f t="shared" si="1"/>
        <v>12140916.849447673</v>
      </c>
    </row>
    <row r="20" spans="1:14" ht="12.75">
      <c r="A20" s="2" t="s">
        <v>197</v>
      </c>
      <c r="B20" s="283">
        <v>141540</v>
      </c>
      <c r="C20" s="284">
        <f>0</f>
        <v>0</v>
      </c>
      <c r="D20" s="146">
        <f>B20-C20</f>
        <v>141540</v>
      </c>
      <c r="E20" s="200">
        <f t="shared" si="0"/>
        <v>0</v>
      </c>
      <c r="G20" s="285">
        <v>9600</v>
      </c>
      <c r="H20" s="151">
        <v>0</v>
      </c>
      <c r="I20" s="146">
        <v>9600</v>
      </c>
      <c r="J20" s="200">
        <v>0</v>
      </c>
      <c r="L20" s="283">
        <v>0</v>
      </c>
      <c r="M20" s="349">
        <v>0</v>
      </c>
      <c r="N20" s="14">
        <f t="shared" si="1"/>
        <v>0</v>
      </c>
    </row>
    <row r="21" spans="2:14" ht="13.5" thickBot="1">
      <c r="B21" s="286">
        <f>SUM(B16:B20)</f>
        <v>15559810.730303999</v>
      </c>
      <c r="C21" s="287">
        <f>SUM(C16:C20)</f>
        <v>13696480.562624699</v>
      </c>
      <c r="D21" s="286">
        <f>SUM(D16:D20)</f>
        <v>1863330.1676793</v>
      </c>
      <c r="E21" s="288">
        <f t="shared" si="0"/>
        <v>13.604445018992706</v>
      </c>
      <c r="G21" s="289">
        <f>SUM(G16:G20)</f>
        <v>7802326</v>
      </c>
      <c r="H21" s="213">
        <v>8095839</v>
      </c>
      <c r="I21" s="214">
        <v>-293488</v>
      </c>
      <c r="J21" s="200">
        <v>-3.625170905696123</v>
      </c>
      <c r="L21" s="283">
        <f>SUM(L16:L20)</f>
        <v>13729601.702898694</v>
      </c>
      <c r="M21" s="349">
        <v>209427</v>
      </c>
      <c r="N21" s="14">
        <f t="shared" si="1"/>
        <v>13939028.702898694</v>
      </c>
    </row>
    <row r="22" spans="12:13" ht="13.5" thickTop="1">
      <c r="L22" s="290"/>
      <c r="M22" s="350">
        <v>209426.742606333</v>
      </c>
    </row>
    <row r="23" ht="12.75">
      <c r="B23" s="14">
        <f>B21-'DETAILED SUMMARY'!B27</f>
        <v>0</v>
      </c>
    </row>
  </sheetData>
  <mergeCells count="2">
    <mergeCell ref="G7:K7"/>
    <mergeCell ref="G11:J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zoomScale="90" zoomScaleNormal="90" workbookViewId="0" topLeftCell="A1">
      <selection activeCell="J11" sqref="J11"/>
    </sheetView>
  </sheetViews>
  <sheetFormatPr defaultColWidth="9.140625" defaultRowHeight="12.75"/>
  <cols>
    <col min="1" max="1" width="22.421875" style="10" bestFit="1" customWidth="1"/>
    <col min="2" max="2" width="30.28125" style="2" bestFit="1" customWidth="1"/>
    <col min="3" max="3" width="5.28125" style="16" customWidth="1"/>
    <col min="4" max="5" width="9.00390625" style="44" bestFit="1" customWidth="1"/>
    <col min="6" max="6" width="9.00390625" style="14" bestFit="1" customWidth="1"/>
    <col min="7" max="7" width="8.8515625" style="13" customWidth="1"/>
    <col min="8" max="8" width="1.421875" style="14" customWidth="1"/>
    <col min="9" max="9" width="9.00390625" style="14" customWidth="1"/>
    <col min="10" max="12" width="9.00390625" style="14" bestFit="1" customWidth="1"/>
    <col min="13" max="13" width="8.8515625" style="14" customWidth="1"/>
    <col min="14" max="14" width="0" style="0" hidden="1" customWidth="1"/>
    <col min="15" max="15" width="11.8515625" style="0" hidden="1" customWidth="1"/>
    <col min="16" max="16" width="6.7109375" style="0" hidden="1" customWidth="1"/>
    <col min="17" max="20" width="6.7109375" style="0" bestFit="1" customWidth="1"/>
    <col min="21" max="21" width="6.8515625" style="0" bestFit="1" customWidth="1"/>
  </cols>
  <sheetData>
    <row r="1" spans="1:15" ht="16.5" thickBot="1">
      <c r="A1" s="42" t="s">
        <v>325</v>
      </c>
      <c r="B1" s="43" t="s">
        <v>326</v>
      </c>
      <c r="F1" s="14" t="s">
        <v>313</v>
      </c>
      <c r="I1" s="14" t="s">
        <v>313</v>
      </c>
      <c r="J1" s="14" t="s">
        <v>313</v>
      </c>
      <c r="K1" s="14" t="s">
        <v>313</v>
      </c>
      <c r="L1" s="14" t="s">
        <v>313</v>
      </c>
      <c r="O1" t="s">
        <v>273</v>
      </c>
    </row>
    <row r="2" spans="1:2" ht="15.75">
      <c r="A2" s="45"/>
      <c r="B2" s="43"/>
    </row>
    <row r="3" spans="1:2" ht="15.75">
      <c r="A3" s="45"/>
      <c r="B3" s="43"/>
    </row>
    <row r="4" spans="1:13" ht="15.75">
      <c r="A4" s="15"/>
      <c r="B4" s="20"/>
      <c r="D4" s="21"/>
      <c r="E4" s="21"/>
      <c r="F4" s="21"/>
      <c r="G4" s="22"/>
      <c r="H4" s="23"/>
      <c r="I4" s="21" t="s">
        <v>288</v>
      </c>
      <c r="J4" s="21" t="s">
        <v>274</v>
      </c>
      <c r="K4" s="21" t="s">
        <v>275</v>
      </c>
      <c r="L4" s="21" t="s">
        <v>276</v>
      </c>
      <c r="M4" s="21" t="s">
        <v>277</v>
      </c>
    </row>
    <row r="5" spans="1:13" ht="15.75">
      <c r="A5" s="15"/>
      <c r="B5" s="20"/>
      <c r="D5" s="24" t="s">
        <v>141</v>
      </c>
      <c r="E5" s="24" t="s">
        <v>141</v>
      </c>
      <c r="F5" s="24" t="s">
        <v>141</v>
      </c>
      <c r="G5" s="25" t="s">
        <v>38</v>
      </c>
      <c r="H5" s="26"/>
      <c r="I5" s="24" t="s">
        <v>278</v>
      </c>
      <c r="J5" s="24" t="s">
        <v>278</v>
      </c>
      <c r="K5" s="24" t="s">
        <v>278</v>
      </c>
      <c r="L5" s="24" t="s">
        <v>278</v>
      </c>
      <c r="M5" s="24" t="s">
        <v>278</v>
      </c>
    </row>
    <row r="6" spans="2:13" ht="15.75">
      <c r="B6" s="16"/>
      <c r="D6" s="27" t="s">
        <v>314</v>
      </c>
      <c r="E6" s="27" t="s">
        <v>315</v>
      </c>
      <c r="F6" s="27" t="s">
        <v>316</v>
      </c>
      <c r="G6" s="28" t="s">
        <v>317</v>
      </c>
      <c r="H6" s="29"/>
      <c r="I6" s="27" t="s">
        <v>318</v>
      </c>
      <c r="J6" s="27" t="s">
        <v>319</v>
      </c>
      <c r="K6" s="27" t="s">
        <v>320</v>
      </c>
      <c r="L6" s="27" t="s">
        <v>321</v>
      </c>
      <c r="M6" s="27" t="s">
        <v>322</v>
      </c>
    </row>
    <row r="7" spans="2:13" ht="15.75">
      <c r="B7" s="16"/>
      <c r="D7" s="46"/>
      <c r="E7" s="46"/>
      <c r="F7" s="46"/>
      <c r="G7" s="47"/>
      <c r="H7" s="48"/>
      <c r="I7" s="46"/>
      <c r="J7" s="46"/>
      <c r="K7" s="46"/>
      <c r="L7" s="46"/>
      <c r="M7" s="46"/>
    </row>
    <row r="8" spans="2:14" ht="15.75">
      <c r="B8" s="16"/>
      <c r="D8" s="49" t="s">
        <v>40</v>
      </c>
      <c r="E8" s="49" t="s">
        <v>40</v>
      </c>
      <c r="F8" s="49" t="s">
        <v>40</v>
      </c>
      <c r="G8" s="50" t="s">
        <v>40</v>
      </c>
      <c r="H8" s="51"/>
      <c r="I8" s="49" t="s">
        <v>40</v>
      </c>
      <c r="J8" s="49" t="s">
        <v>40</v>
      </c>
      <c r="K8" s="49" t="s">
        <v>40</v>
      </c>
      <c r="L8" s="49" t="s">
        <v>40</v>
      </c>
      <c r="M8" s="49" t="s">
        <v>40</v>
      </c>
      <c r="N8" s="50"/>
    </row>
    <row r="9" spans="2:13" ht="15.75">
      <c r="B9" s="16"/>
      <c r="D9" s="52"/>
      <c r="E9" s="52"/>
      <c r="F9" s="17"/>
      <c r="G9" s="18"/>
      <c r="H9" s="30"/>
      <c r="I9" s="53"/>
      <c r="J9" s="53"/>
      <c r="K9" s="53"/>
      <c r="L9" s="53"/>
      <c r="M9" s="53"/>
    </row>
    <row r="10" spans="1:20" ht="15" customHeight="1">
      <c r="A10" s="1" t="s">
        <v>74</v>
      </c>
      <c r="B10" s="54" t="s">
        <v>327</v>
      </c>
      <c r="C10" s="54"/>
      <c r="D10" s="55">
        <v>30</v>
      </c>
      <c r="E10" s="55">
        <v>30</v>
      </c>
      <c r="F10" s="55">
        <v>30</v>
      </c>
      <c r="G10" s="56">
        <v>30</v>
      </c>
      <c r="H10" s="57"/>
      <c r="I10" s="56">
        <v>50</v>
      </c>
      <c r="J10" s="56">
        <v>50</v>
      </c>
      <c r="K10" s="55">
        <v>110</v>
      </c>
      <c r="L10" s="56">
        <v>110</v>
      </c>
      <c r="M10" s="56">
        <v>120</v>
      </c>
      <c r="N10" s="19"/>
      <c r="P10" s="58"/>
      <c r="Q10" s="58"/>
      <c r="R10" s="58"/>
      <c r="S10" s="58"/>
      <c r="T10" s="58"/>
    </row>
    <row r="11" spans="1:20" ht="15" customHeight="1">
      <c r="A11" s="1"/>
      <c r="B11" s="54" t="s">
        <v>328</v>
      </c>
      <c r="C11" s="54"/>
      <c r="D11" s="55">
        <v>60</v>
      </c>
      <c r="E11" s="55">
        <v>60</v>
      </c>
      <c r="F11" s="55">
        <v>60</v>
      </c>
      <c r="G11" s="56">
        <v>60</v>
      </c>
      <c r="H11" s="57"/>
      <c r="I11" s="56">
        <v>72</v>
      </c>
      <c r="J11" s="56">
        <v>72</v>
      </c>
      <c r="K11" s="55">
        <v>310</v>
      </c>
      <c r="L11" s="56">
        <v>310</v>
      </c>
      <c r="M11" s="56">
        <v>340</v>
      </c>
      <c r="P11" s="58"/>
      <c r="Q11" s="58"/>
      <c r="R11" s="58"/>
      <c r="S11" s="58"/>
      <c r="T11" s="58"/>
    </row>
    <row r="12" spans="2:20" ht="15" customHeight="1">
      <c r="B12" s="54" t="s">
        <v>281</v>
      </c>
      <c r="C12" s="54"/>
      <c r="D12" s="55">
        <v>60</v>
      </c>
      <c r="E12" s="55">
        <v>60</v>
      </c>
      <c r="F12" s="55">
        <v>60</v>
      </c>
      <c r="G12" s="56">
        <v>60</v>
      </c>
      <c r="H12" s="57"/>
      <c r="I12" s="56">
        <v>110</v>
      </c>
      <c r="J12" s="55">
        <v>110</v>
      </c>
      <c r="K12" s="55">
        <v>120</v>
      </c>
      <c r="L12" s="56">
        <v>120</v>
      </c>
      <c r="M12" s="56">
        <v>130</v>
      </c>
      <c r="P12" s="58"/>
      <c r="Q12" s="58"/>
      <c r="R12" s="58"/>
      <c r="S12" s="58"/>
      <c r="T12" s="58"/>
    </row>
    <row r="13" spans="2:13" ht="15" customHeight="1">
      <c r="B13" s="54" t="s">
        <v>282</v>
      </c>
      <c r="C13" s="54"/>
      <c r="D13" s="55">
        <v>60</v>
      </c>
      <c r="E13" s="55">
        <v>60</v>
      </c>
      <c r="F13" s="55">
        <v>60</v>
      </c>
      <c r="G13" s="56">
        <v>60</v>
      </c>
      <c r="H13" s="57"/>
      <c r="I13" s="56">
        <v>72</v>
      </c>
      <c r="J13" s="56">
        <v>72</v>
      </c>
      <c r="K13" s="55">
        <v>78</v>
      </c>
      <c r="L13" s="56">
        <v>78</v>
      </c>
      <c r="M13" s="55">
        <v>90</v>
      </c>
    </row>
    <row r="14" spans="2:20" ht="15" customHeight="1">
      <c r="B14" s="54" t="s">
        <v>329</v>
      </c>
      <c r="C14" s="54"/>
      <c r="D14" s="55">
        <v>200</v>
      </c>
      <c r="E14" s="55">
        <v>200</v>
      </c>
      <c r="F14" s="55">
        <v>200</v>
      </c>
      <c r="G14" s="56">
        <v>200</v>
      </c>
      <c r="H14" s="57"/>
      <c r="I14" s="56">
        <v>400</v>
      </c>
      <c r="J14" s="56">
        <v>400</v>
      </c>
      <c r="K14" s="55">
        <v>440</v>
      </c>
      <c r="L14" s="56">
        <v>440</v>
      </c>
      <c r="M14" s="56">
        <v>480</v>
      </c>
      <c r="P14" s="58"/>
      <c r="Q14" s="58"/>
      <c r="R14" s="58"/>
      <c r="S14" s="58"/>
      <c r="T14" s="58"/>
    </row>
    <row r="15" spans="2:20" ht="15" customHeight="1">
      <c r="B15" s="54" t="s">
        <v>330</v>
      </c>
      <c r="C15" s="54"/>
      <c r="D15" s="55">
        <v>200</v>
      </c>
      <c r="E15" s="55">
        <v>200</v>
      </c>
      <c r="F15" s="55">
        <v>200</v>
      </c>
      <c r="G15" s="56">
        <v>200</v>
      </c>
      <c r="H15" s="57"/>
      <c r="I15" s="56">
        <v>400</v>
      </c>
      <c r="J15" s="56">
        <v>400</v>
      </c>
      <c r="K15" s="55">
        <v>440</v>
      </c>
      <c r="L15" s="56">
        <v>440</v>
      </c>
      <c r="M15" s="56">
        <v>480</v>
      </c>
      <c r="P15" s="58"/>
      <c r="Q15" s="58"/>
      <c r="R15" s="58"/>
      <c r="S15" s="58"/>
      <c r="T15" s="58"/>
    </row>
    <row r="16" spans="2:13" ht="15" customHeight="1">
      <c r="B16" s="20"/>
      <c r="C16" s="20"/>
      <c r="D16" s="59"/>
      <c r="E16" s="59"/>
      <c r="F16" s="59"/>
      <c r="G16" s="60"/>
      <c r="H16" s="61"/>
      <c r="I16" s="59"/>
      <c r="J16" s="59"/>
      <c r="K16" s="59"/>
      <c r="L16" s="59"/>
      <c r="M16" s="59"/>
    </row>
    <row r="17" spans="1:15" ht="15" customHeight="1">
      <c r="A17" s="1" t="s">
        <v>331</v>
      </c>
      <c r="B17" s="62" t="s">
        <v>332</v>
      </c>
      <c r="C17" s="54"/>
      <c r="D17" s="55"/>
      <c r="E17" s="55"/>
      <c r="F17" s="55"/>
      <c r="G17" s="56"/>
      <c r="H17" s="57"/>
      <c r="I17" s="55"/>
      <c r="J17" s="55"/>
      <c r="K17" s="63"/>
      <c r="L17" s="55"/>
      <c r="M17" s="55"/>
      <c r="O17" s="64">
        <v>0.2</v>
      </c>
    </row>
    <row r="18" spans="1:20" ht="15" customHeight="1">
      <c r="A18" s="1" t="s">
        <v>333</v>
      </c>
      <c r="B18" s="54" t="s">
        <v>127</v>
      </c>
      <c r="C18" s="54"/>
      <c r="D18" s="55">
        <v>260</v>
      </c>
      <c r="E18" s="55">
        <v>260</v>
      </c>
      <c r="F18" s="55">
        <v>260</v>
      </c>
      <c r="G18" s="56">
        <v>300</v>
      </c>
      <c r="H18" s="57"/>
      <c r="I18" s="55">
        <v>300</v>
      </c>
      <c r="J18" s="55">
        <f>I18</f>
        <v>300</v>
      </c>
      <c r="K18" s="55">
        <f>J18+($O$17*J18)</f>
        <v>360</v>
      </c>
      <c r="L18" s="55">
        <f>K18</f>
        <v>360</v>
      </c>
      <c r="M18" s="55">
        <f>L18+($O$17*L18)</f>
        <v>432</v>
      </c>
      <c r="P18" s="58"/>
      <c r="Q18" s="58"/>
      <c r="R18" s="58"/>
      <c r="S18" s="58"/>
      <c r="T18" s="58"/>
    </row>
    <row r="19" spans="1:13" ht="15" customHeight="1">
      <c r="A19" s="1"/>
      <c r="B19" s="54" t="s">
        <v>334</v>
      </c>
      <c r="C19" s="54"/>
      <c r="D19" s="55">
        <v>130</v>
      </c>
      <c r="E19" s="55">
        <v>130</v>
      </c>
      <c r="F19" s="55">
        <v>130</v>
      </c>
      <c r="G19" s="56">
        <v>130</v>
      </c>
      <c r="H19" s="57"/>
      <c r="I19" s="55">
        <v>140</v>
      </c>
      <c r="J19" s="55">
        <f>I19</f>
        <v>140</v>
      </c>
      <c r="K19" s="55">
        <f>J19+($O$17*J19)</f>
        <v>168</v>
      </c>
      <c r="L19" s="55">
        <f>K19</f>
        <v>168</v>
      </c>
      <c r="M19" s="55">
        <f>L19+($O$17*L19)</f>
        <v>201.6</v>
      </c>
    </row>
    <row r="20" spans="2:13" ht="15" customHeight="1">
      <c r="B20" s="54" t="s">
        <v>335</v>
      </c>
      <c r="C20" s="54"/>
      <c r="D20" s="55">
        <v>130</v>
      </c>
      <c r="E20" s="55">
        <v>130</v>
      </c>
      <c r="F20" s="55">
        <v>130</v>
      </c>
      <c r="G20" s="56">
        <v>130</v>
      </c>
      <c r="H20" s="57"/>
      <c r="I20" s="55">
        <v>140</v>
      </c>
      <c r="J20" s="55">
        <f>I20</f>
        <v>140</v>
      </c>
      <c r="K20" s="55">
        <f>J20+($O$17*J20)</f>
        <v>168</v>
      </c>
      <c r="L20" s="55">
        <f>K20</f>
        <v>168</v>
      </c>
      <c r="M20" s="55">
        <f>L20+($O$17*L20)</f>
        <v>201.6</v>
      </c>
    </row>
    <row r="21" spans="2:20" ht="15" customHeight="1">
      <c r="B21" s="54" t="s">
        <v>336</v>
      </c>
      <c r="C21" s="54"/>
      <c r="D21" s="65">
        <v>530</v>
      </c>
      <c r="E21" s="65">
        <v>530</v>
      </c>
      <c r="F21" s="65">
        <v>530</v>
      </c>
      <c r="G21" s="66">
        <v>530</v>
      </c>
      <c r="H21" s="67"/>
      <c r="I21" s="65">
        <v>560</v>
      </c>
      <c r="J21" s="55">
        <f>I21</f>
        <v>560</v>
      </c>
      <c r="K21" s="55">
        <f>J21+($O$17*J21)</f>
        <v>672</v>
      </c>
      <c r="L21" s="55">
        <f>K21</f>
        <v>672</v>
      </c>
      <c r="M21" s="55">
        <f>L21+($O$17*L21)</f>
        <v>806.4</v>
      </c>
      <c r="P21" s="68"/>
      <c r="Q21" s="68"/>
      <c r="R21" s="68"/>
      <c r="S21" s="68"/>
      <c r="T21" s="68"/>
    </row>
    <row r="22" spans="2:20" ht="15" customHeight="1">
      <c r="B22" s="54" t="s">
        <v>337</v>
      </c>
      <c r="C22" s="54"/>
      <c r="D22" s="65">
        <v>530</v>
      </c>
      <c r="E22" s="65">
        <v>530</v>
      </c>
      <c r="F22" s="65">
        <v>530</v>
      </c>
      <c r="G22" s="66">
        <v>530</v>
      </c>
      <c r="H22" s="67"/>
      <c r="I22" s="65">
        <v>560</v>
      </c>
      <c r="J22" s="55">
        <f>I22</f>
        <v>560</v>
      </c>
      <c r="K22" s="55">
        <f>J22+($O$17*J22)</f>
        <v>672</v>
      </c>
      <c r="L22" s="55">
        <f>K22</f>
        <v>672</v>
      </c>
      <c r="M22" s="55">
        <f>L22+($O$17*L22)</f>
        <v>806.4</v>
      </c>
      <c r="P22" s="68"/>
      <c r="Q22" s="68"/>
      <c r="R22" s="68"/>
      <c r="S22" s="68"/>
      <c r="T22" s="68"/>
    </row>
    <row r="23" spans="2:13" ht="15" customHeight="1">
      <c r="B23" s="69"/>
      <c r="C23" s="69"/>
      <c r="D23" s="70"/>
      <c r="E23" s="70"/>
      <c r="F23" s="70"/>
      <c r="G23" s="71"/>
      <c r="H23" s="72"/>
      <c r="I23" s="70"/>
      <c r="J23" s="70"/>
      <c r="K23" s="70"/>
      <c r="L23" s="70"/>
      <c r="M23" s="70"/>
    </row>
    <row r="24" spans="2:13" ht="15" customHeight="1">
      <c r="B24" s="73" t="s">
        <v>338</v>
      </c>
      <c r="C24" s="54"/>
      <c r="D24" s="55"/>
      <c r="E24" s="55"/>
      <c r="F24" s="55"/>
      <c r="G24" s="56"/>
      <c r="H24" s="57"/>
      <c r="I24" s="55"/>
      <c r="J24" s="55"/>
      <c r="K24" s="55"/>
      <c r="L24" s="55"/>
      <c r="M24" s="55"/>
    </row>
    <row r="25" spans="1:13" ht="15" customHeight="1">
      <c r="A25" s="74"/>
      <c r="B25" s="54" t="s">
        <v>339</v>
      </c>
      <c r="C25" s="54"/>
      <c r="D25" s="55">
        <v>65</v>
      </c>
      <c r="E25" s="55">
        <v>65</v>
      </c>
      <c r="F25" s="55">
        <v>65</v>
      </c>
      <c r="G25" s="56">
        <v>65</v>
      </c>
      <c r="H25" s="57"/>
      <c r="I25" s="55">
        <v>70</v>
      </c>
      <c r="J25" s="55">
        <v>70</v>
      </c>
      <c r="K25" s="55">
        <f>J25+($O$17*J25)</f>
        <v>84</v>
      </c>
      <c r="L25" s="55">
        <f>K25</f>
        <v>84</v>
      </c>
      <c r="M25" s="55">
        <f>L25+($O$17*L25)</f>
        <v>100.8</v>
      </c>
    </row>
    <row r="26" spans="2:13" ht="15" customHeight="1">
      <c r="B26" s="54" t="s">
        <v>340</v>
      </c>
      <c r="C26" s="54"/>
      <c r="D26" s="55">
        <v>65</v>
      </c>
      <c r="E26" s="55">
        <v>65</v>
      </c>
      <c r="F26" s="55">
        <v>65</v>
      </c>
      <c r="G26" s="56">
        <v>65</v>
      </c>
      <c r="H26" s="57"/>
      <c r="I26" s="55">
        <v>70</v>
      </c>
      <c r="J26" s="55">
        <v>70</v>
      </c>
      <c r="K26" s="55">
        <f>J26+($O$17*J26)</f>
        <v>84</v>
      </c>
      <c r="L26" s="55">
        <f>K26</f>
        <v>84</v>
      </c>
      <c r="M26" s="55">
        <f>L26+($O$17*L26)</f>
        <v>100.8</v>
      </c>
    </row>
    <row r="27" spans="2:13" ht="15" customHeight="1">
      <c r="B27" s="54" t="s">
        <v>341</v>
      </c>
      <c r="C27" s="54"/>
      <c r="D27" s="55">
        <v>0</v>
      </c>
      <c r="E27" s="55">
        <v>0</v>
      </c>
      <c r="F27" s="55">
        <v>0</v>
      </c>
      <c r="G27" s="56">
        <v>0</v>
      </c>
      <c r="H27" s="57"/>
      <c r="I27" s="55">
        <v>0</v>
      </c>
      <c r="J27" s="55">
        <v>70</v>
      </c>
      <c r="K27" s="55">
        <f>J27+($O$17*J27)</f>
        <v>84</v>
      </c>
      <c r="L27" s="55">
        <f>K27</f>
        <v>84</v>
      </c>
      <c r="M27" s="55">
        <f>L27+($O$17*L27)</f>
        <v>100.8</v>
      </c>
    </row>
    <row r="28" spans="2:13" ht="15" customHeight="1">
      <c r="B28" s="54" t="s">
        <v>342</v>
      </c>
      <c r="C28" s="54"/>
      <c r="D28" s="55">
        <v>0</v>
      </c>
      <c r="E28" s="55">
        <v>0</v>
      </c>
      <c r="F28" s="55">
        <v>0</v>
      </c>
      <c r="G28" s="56">
        <v>65</v>
      </c>
      <c r="H28" s="57"/>
      <c r="I28" s="55">
        <v>70</v>
      </c>
      <c r="J28" s="55">
        <v>70</v>
      </c>
      <c r="K28" s="55">
        <f>J28+($O$17*J28)</f>
        <v>84</v>
      </c>
      <c r="L28" s="55">
        <f>K28</f>
        <v>84</v>
      </c>
      <c r="M28" s="55">
        <f>L28+($O$17*L28)</f>
        <v>100.8</v>
      </c>
    </row>
    <row r="29" spans="6:20" ht="15.75">
      <c r="F29" s="44"/>
      <c r="G29" s="75"/>
      <c r="H29" s="44"/>
      <c r="I29" s="44"/>
      <c r="J29" s="44"/>
      <c r="K29" s="44"/>
      <c r="L29" s="44"/>
      <c r="M29" s="44"/>
      <c r="P29" s="68"/>
      <c r="Q29" s="68"/>
      <c r="R29" s="68"/>
      <c r="S29" s="68"/>
      <c r="T29" s="68"/>
    </row>
    <row r="30" spans="2:20" ht="15.75" hidden="1">
      <c r="B30" s="76" t="s">
        <v>343</v>
      </c>
      <c r="F30" s="44"/>
      <c r="G30" s="75"/>
      <c r="H30" s="44"/>
      <c r="I30" s="44"/>
      <c r="J30" s="44"/>
      <c r="K30" s="44"/>
      <c r="L30" s="44"/>
      <c r="M30" s="44"/>
      <c r="P30" s="68"/>
      <c r="Q30" s="68"/>
      <c r="R30" s="68"/>
      <c r="S30" s="68"/>
      <c r="T30" s="68"/>
    </row>
    <row r="31" spans="2:20" ht="15.75" hidden="1">
      <c r="B31" s="76" t="s">
        <v>344</v>
      </c>
      <c r="F31" s="44"/>
      <c r="G31" s="75"/>
      <c r="H31" s="44"/>
      <c r="I31" s="44"/>
      <c r="J31" s="44"/>
      <c r="K31" s="44"/>
      <c r="L31" s="44"/>
      <c r="M31" s="44"/>
      <c r="P31" s="68"/>
      <c r="Q31" s="68"/>
      <c r="R31" s="68"/>
      <c r="S31" s="68"/>
      <c r="T31" s="68"/>
    </row>
    <row r="32" spans="1:20" ht="12.75" hidden="1">
      <c r="A32" s="1" t="s">
        <v>273</v>
      </c>
      <c r="F32" s="44"/>
      <c r="G32" s="75"/>
      <c r="H32" s="44"/>
      <c r="I32" s="44"/>
      <c r="J32" s="44"/>
      <c r="K32" s="44"/>
      <c r="L32" s="44"/>
      <c r="M32" s="44"/>
      <c r="P32" s="68"/>
      <c r="Q32" s="68"/>
      <c r="R32" s="68"/>
      <c r="S32" s="68"/>
      <c r="T32" s="68"/>
    </row>
    <row r="33" spans="4:13" ht="15.75" hidden="1">
      <c r="D33" s="12"/>
      <c r="E33" s="12"/>
      <c r="F33" s="12"/>
      <c r="G33" s="77"/>
      <c r="H33" s="12"/>
      <c r="I33" s="12"/>
      <c r="J33" s="12"/>
      <c r="K33" s="12"/>
      <c r="L33" s="12"/>
      <c r="M33" s="12"/>
    </row>
    <row r="34" spans="1:21" ht="12.75" hidden="1">
      <c r="A34" s="2" t="s">
        <v>345</v>
      </c>
      <c r="B34" s="2" t="s">
        <v>14</v>
      </c>
      <c r="D34" s="44">
        <v>205</v>
      </c>
      <c r="E34" s="44">
        <v>205</v>
      </c>
      <c r="F34" s="44">
        <v>210.125</v>
      </c>
      <c r="G34" s="75">
        <f>F34*(1+P34)</f>
        <v>215.37812499999998</v>
      </c>
      <c r="H34" s="44"/>
      <c r="I34" s="44">
        <f>G34*(1+Q34)</f>
        <v>221.83946874999998</v>
      </c>
      <c r="J34" s="44">
        <f aca="true" t="shared" si="0" ref="J34:M37">I34*(1+R34)</f>
        <v>228.4946528125</v>
      </c>
      <c r="K34" s="44">
        <f t="shared" si="0"/>
        <v>235.349492396875</v>
      </c>
      <c r="L34" s="44">
        <f t="shared" si="0"/>
        <v>242.40997716878127</v>
      </c>
      <c r="M34" s="44">
        <f t="shared" si="0"/>
        <v>249.6822764838447</v>
      </c>
      <c r="O34" s="2" t="s">
        <v>346</v>
      </c>
      <c r="P34" s="78">
        <v>0.025</v>
      </c>
      <c r="Q34" s="78">
        <v>0.03</v>
      </c>
      <c r="R34" s="78">
        <v>0.03</v>
      </c>
      <c r="S34" s="78">
        <v>0.03</v>
      </c>
      <c r="T34" s="78">
        <v>0.03</v>
      </c>
      <c r="U34" s="78">
        <v>0.03</v>
      </c>
    </row>
    <row r="35" spans="1:21" ht="12.75" hidden="1">
      <c r="A35" s="2" t="s">
        <v>347</v>
      </c>
      <c r="B35" s="2" t="s">
        <v>348</v>
      </c>
      <c r="D35" s="44">
        <v>123</v>
      </c>
      <c r="E35" s="44">
        <v>123</v>
      </c>
      <c r="F35" s="44">
        <v>126.075</v>
      </c>
      <c r="G35" s="75">
        <f>F35*(1+P35)</f>
        <v>129.22687499999998</v>
      </c>
      <c r="H35" s="44"/>
      <c r="I35" s="44">
        <f>G35*(1+Q35)</f>
        <v>133.10368125</v>
      </c>
      <c r="J35" s="44">
        <f t="shared" si="0"/>
        <v>137.0967916875</v>
      </c>
      <c r="K35" s="44">
        <f t="shared" si="0"/>
        <v>141.209695438125</v>
      </c>
      <c r="L35" s="44">
        <f t="shared" si="0"/>
        <v>145.44598630126876</v>
      </c>
      <c r="M35" s="44">
        <f t="shared" si="0"/>
        <v>149.80936589030682</v>
      </c>
      <c r="O35" s="2" t="s">
        <v>346</v>
      </c>
      <c r="P35" s="78">
        <v>0.025</v>
      </c>
      <c r="Q35" s="78">
        <v>0.03</v>
      </c>
      <c r="R35" s="78">
        <v>0.03</v>
      </c>
      <c r="S35" s="78">
        <v>0.03</v>
      </c>
      <c r="T35" s="78">
        <v>0.03</v>
      </c>
      <c r="U35" s="78">
        <v>0.03</v>
      </c>
    </row>
    <row r="36" spans="2:21" ht="15.75" hidden="1">
      <c r="B36" s="2" t="s">
        <v>349</v>
      </c>
      <c r="D36" s="44">
        <v>21</v>
      </c>
      <c r="E36" s="44">
        <v>21</v>
      </c>
      <c r="F36" s="44">
        <v>21.525</v>
      </c>
      <c r="G36" s="75">
        <f>F36*(1+P36)</f>
        <v>22.063124999999996</v>
      </c>
      <c r="H36" s="44"/>
      <c r="I36" s="44">
        <f>G36*(1+Q36)</f>
        <v>22.725018749999997</v>
      </c>
      <c r="J36" s="44">
        <f t="shared" si="0"/>
        <v>23.406769312499996</v>
      </c>
      <c r="K36" s="44">
        <f t="shared" si="0"/>
        <v>24.108972391874996</v>
      </c>
      <c r="L36" s="44">
        <f t="shared" si="0"/>
        <v>24.832241563631246</v>
      </c>
      <c r="M36" s="44">
        <f t="shared" si="0"/>
        <v>25.577208810540185</v>
      </c>
      <c r="O36" s="2" t="s">
        <v>346</v>
      </c>
      <c r="P36" s="78">
        <v>0.025</v>
      </c>
      <c r="Q36" s="78">
        <v>0.03</v>
      </c>
      <c r="R36" s="78">
        <v>0.03</v>
      </c>
      <c r="S36" s="78">
        <v>0.03</v>
      </c>
      <c r="T36" s="78">
        <v>0.03</v>
      </c>
      <c r="U36" s="78">
        <v>0.03</v>
      </c>
    </row>
    <row r="37" spans="2:21" ht="15.75" hidden="1">
      <c r="B37" s="2" t="s">
        <v>350</v>
      </c>
      <c r="D37" s="44">
        <v>7950</v>
      </c>
      <c r="E37" s="44">
        <v>7950</v>
      </c>
      <c r="F37" s="44">
        <v>6530</v>
      </c>
      <c r="G37" s="75">
        <f>1254000/176</f>
        <v>7125</v>
      </c>
      <c r="H37" s="44"/>
      <c r="I37" s="44">
        <f>G37*(1+Q37)</f>
        <v>7481.25</v>
      </c>
      <c r="J37" s="44">
        <f t="shared" si="0"/>
        <v>7855.3125</v>
      </c>
      <c r="K37" s="44">
        <f t="shared" si="0"/>
        <v>8248.078125</v>
      </c>
      <c r="L37" s="44">
        <f t="shared" si="0"/>
        <v>8660.48203125</v>
      </c>
      <c r="M37" s="44">
        <f t="shared" si="0"/>
        <v>9093.5061328125</v>
      </c>
      <c r="O37" t="s">
        <v>346</v>
      </c>
      <c r="P37" s="68"/>
      <c r="Q37" s="68">
        <v>0.05</v>
      </c>
      <c r="R37" s="68">
        <v>0.05</v>
      </c>
      <c r="S37" s="68">
        <v>0.05</v>
      </c>
      <c r="T37" s="68">
        <v>0.05</v>
      </c>
      <c r="U37" s="68">
        <v>0.05</v>
      </c>
    </row>
    <row r="45" ht="15.75"/>
    <row r="46" ht="15.75"/>
  </sheetData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headerFooter alignWithMargins="0">
    <oddHeader>&amp;LBudget 2007/08&amp;CVersion 3
</oddHeader>
    <oddFooter>&amp;L&amp;8&amp;F/&amp;A/&amp;D/&amp;T&amp;R&amp;8Page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E9" sqref="E9"/>
    </sheetView>
  </sheetViews>
  <sheetFormatPr defaultColWidth="9.140625" defaultRowHeight="12.75"/>
  <cols>
    <col min="1" max="1" width="25.57421875" style="0" bestFit="1" customWidth="1"/>
    <col min="4" max="4" width="14.421875" style="0" bestFit="1" customWidth="1"/>
  </cols>
  <sheetData>
    <row r="1" spans="1:5" ht="15.75">
      <c r="A1" s="45"/>
      <c r="B1" s="18"/>
      <c r="C1" s="18"/>
      <c r="D1" s="18"/>
      <c r="E1" s="18"/>
    </row>
    <row r="2" spans="1:5" ht="15.75">
      <c r="A2" s="45"/>
      <c r="B2" s="17"/>
      <c r="C2" s="17"/>
      <c r="D2" s="17"/>
      <c r="E2" s="17"/>
    </row>
    <row r="3" spans="1:5" ht="12.75">
      <c r="A3" s="20"/>
      <c r="B3" s="23"/>
      <c r="C3" s="406" t="s">
        <v>288</v>
      </c>
      <c r="D3" s="407"/>
      <c r="E3" s="408"/>
    </row>
    <row r="4" spans="1:5" ht="12.75">
      <c r="A4" s="20"/>
      <c r="B4" s="26"/>
      <c r="C4" s="409" t="s">
        <v>278</v>
      </c>
      <c r="D4" s="410"/>
      <c r="E4" s="411"/>
    </row>
    <row r="5" spans="1:5" ht="12.75">
      <c r="A5" s="16"/>
      <c r="B5" s="29"/>
      <c r="C5" s="412" t="s">
        <v>271</v>
      </c>
      <c r="D5" s="413"/>
      <c r="E5" s="414"/>
    </row>
    <row r="6" spans="1:5" ht="12.75">
      <c r="A6" s="16"/>
      <c r="B6" s="34"/>
      <c r="C6" s="33"/>
      <c r="D6" s="35" t="s">
        <v>351</v>
      </c>
      <c r="E6" s="79"/>
    </row>
    <row r="7" spans="1:5" ht="12.75">
      <c r="A7" s="31" t="s">
        <v>352</v>
      </c>
      <c r="B7" s="36"/>
      <c r="C7" s="35" t="s">
        <v>232</v>
      </c>
      <c r="D7" s="35" t="s">
        <v>353</v>
      </c>
      <c r="E7" s="80" t="s">
        <v>354</v>
      </c>
    </row>
    <row r="8" spans="1:5" ht="12.75">
      <c r="A8" s="16"/>
      <c r="B8" s="82"/>
      <c r="C8" s="81"/>
      <c r="D8" s="81"/>
      <c r="E8" s="81"/>
    </row>
    <row r="9" spans="1:5" ht="12.75">
      <c r="A9" s="16" t="s">
        <v>280</v>
      </c>
      <c r="B9" s="84"/>
      <c r="C9" s="83" t="e">
        <f>#REF!</f>
        <v>#REF!</v>
      </c>
      <c r="D9" s="83" t="e">
        <f>C9*0.63</f>
        <v>#REF!</v>
      </c>
      <c r="E9" s="83" t="e">
        <f>D9*36/1000</f>
        <v>#REF!</v>
      </c>
    </row>
    <row r="10" spans="1:5" ht="12.75">
      <c r="A10" s="16" t="s">
        <v>135</v>
      </c>
      <c r="B10" s="84"/>
      <c r="C10" s="83" t="e">
        <f>#REF!</f>
        <v>#REF!</v>
      </c>
      <c r="D10" s="83" t="e">
        <f>C10*0.77</f>
        <v>#REF!</v>
      </c>
      <c r="E10" s="83" t="e">
        <f aca="true" t="shared" si="0" ref="E10:E21">D10*36/1000</f>
        <v>#REF!</v>
      </c>
    </row>
    <row r="11" spans="1:5" ht="12.75">
      <c r="A11" s="16" t="s">
        <v>116</v>
      </c>
      <c r="B11" s="84"/>
      <c r="C11" s="83" t="e">
        <f>#REF!</f>
        <v>#REF!</v>
      </c>
      <c r="D11" s="83" t="e">
        <f>C11*0.63</f>
        <v>#REF!</v>
      </c>
      <c r="E11" s="83" t="e">
        <f t="shared" si="0"/>
        <v>#REF!</v>
      </c>
    </row>
    <row r="12" spans="1:5" ht="12.75">
      <c r="A12" s="16" t="s">
        <v>117</v>
      </c>
      <c r="B12" s="84"/>
      <c r="C12" s="83" t="e">
        <f>#REF!</f>
        <v>#REF!</v>
      </c>
      <c r="D12" s="83" t="e">
        <f>C12*0.76</f>
        <v>#REF!</v>
      </c>
      <c r="E12" s="83" t="e">
        <f t="shared" si="0"/>
        <v>#REF!</v>
      </c>
    </row>
    <row r="13" spans="1:5" ht="12.75">
      <c r="A13" s="16" t="s">
        <v>198</v>
      </c>
      <c r="B13" s="84"/>
      <c r="C13" s="83" t="e">
        <f>#REF!</f>
        <v>#REF!</v>
      </c>
      <c r="D13" s="83" t="e">
        <f>C13*0.7</f>
        <v>#REF!</v>
      </c>
      <c r="E13" s="83" t="e">
        <f t="shared" si="0"/>
        <v>#REF!</v>
      </c>
    </row>
    <row r="14" spans="1:5" ht="12.75">
      <c r="A14" s="16" t="s">
        <v>136</v>
      </c>
      <c r="B14" s="84"/>
      <c r="C14" s="83" t="e">
        <f>#REF!</f>
        <v>#REF!</v>
      </c>
      <c r="D14" s="83" t="e">
        <f>C14*0.6</f>
        <v>#REF!</v>
      </c>
      <c r="E14" s="83" t="e">
        <f t="shared" si="0"/>
        <v>#REF!</v>
      </c>
    </row>
    <row r="15" spans="1:5" ht="12.75">
      <c r="A15" s="16" t="s">
        <v>118</v>
      </c>
      <c r="B15" s="84"/>
      <c r="C15" s="83" t="e">
        <f>#REF!</f>
        <v>#REF!</v>
      </c>
      <c r="D15" s="83" t="e">
        <f>C15*0.2</f>
        <v>#REF!</v>
      </c>
      <c r="E15" s="83" t="e">
        <f t="shared" si="0"/>
        <v>#REF!</v>
      </c>
    </row>
    <row r="16" spans="1:5" ht="12.75">
      <c r="A16" s="16" t="s">
        <v>119</v>
      </c>
      <c r="B16" s="84"/>
      <c r="C16" s="83" t="e">
        <f>#REF!</f>
        <v>#REF!</v>
      </c>
      <c r="D16" s="83" t="e">
        <f>C16*0.56</f>
        <v>#REF!</v>
      </c>
      <c r="E16" s="83" t="e">
        <f t="shared" si="0"/>
        <v>#REF!</v>
      </c>
    </row>
    <row r="17" spans="1:5" ht="12.75">
      <c r="A17" s="16" t="s">
        <v>120</v>
      </c>
      <c r="B17" s="84"/>
      <c r="C17" s="83" t="e">
        <f>#REF!</f>
        <v>#REF!</v>
      </c>
      <c r="D17" s="83" t="e">
        <f>C17*0.9</f>
        <v>#REF!</v>
      </c>
      <c r="E17" s="83" t="e">
        <f t="shared" si="0"/>
        <v>#REF!</v>
      </c>
    </row>
    <row r="18" spans="1:5" ht="12.75">
      <c r="A18" s="16" t="s">
        <v>355</v>
      </c>
      <c r="B18" s="84"/>
      <c r="C18" s="83" t="e">
        <f>#REF!</f>
        <v>#REF!</v>
      </c>
      <c r="D18" s="83" t="e">
        <f>C18*0.92</f>
        <v>#REF!</v>
      </c>
      <c r="E18" s="83" t="e">
        <f t="shared" si="0"/>
        <v>#REF!</v>
      </c>
    </row>
    <row r="19" spans="1:5" ht="12.75">
      <c r="A19" s="16" t="s">
        <v>122</v>
      </c>
      <c r="B19" s="84"/>
      <c r="C19" s="83" t="e">
        <f>#REF!</f>
        <v>#REF!</v>
      </c>
      <c r="D19" s="83" t="e">
        <f>C19*0.93</f>
        <v>#REF!</v>
      </c>
      <c r="E19" s="83" t="e">
        <f t="shared" si="0"/>
        <v>#REF!</v>
      </c>
    </row>
    <row r="20" spans="1:5" ht="12.75">
      <c r="A20" s="16" t="s">
        <v>123</v>
      </c>
      <c r="B20" s="84"/>
      <c r="C20" s="83" t="e">
        <f>#REF!</f>
        <v>#REF!</v>
      </c>
      <c r="D20" s="83" t="e">
        <f>C20*0.42</f>
        <v>#REF!</v>
      </c>
      <c r="E20" s="83" t="e">
        <f t="shared" si="0"/>
        <v>#REF!</v>
      </c>
    </row>
    <row r="21" spans="1:5" ht="12.75">
      <c r="A21" s="85" t="s">
        <v>209</v>
      </c>
      <c r="B21" s="87"/>
      <c r="C21" s="86" t="e">
        <f>#REF!</f>
        <v>#REF!</v>
      </c>
      <c r="D21" s="86" t="e">
        <f>C21*0.7</f>
        <v>#REF!</v>
      </c>
      <c r="E21" s="83" t="e">
        <f t="shared" si="0"/>
        <v>#REF!</v>
      </c>
    </row>
    <row r="22" spans="1:5" ht="12.75">
      <c r="A22" s="41" t="s">
        <v>232</v>
      </c>
      <c r="B22" s="89"/>
      <c r="C22" s="88" t="e">
        <f>SUM(C9:C21)</f>
        <v>#REF!</v>
      </c>
      <c r="D22" s="88" t="e">
        <f>SUM(D9:D21)</f>
        <v>#REF!</v>
      </c>
      <c r="E22" s="90" t="e">
        <f>SUM(E9:E21)</f>
        <v>#REF!</v>
      </c>
    </row>
    <row r="23" spans="1:5" ht="12.75">
      <c r="A23" s="16"/>
      <c r="B23" s="91"/>
      <c r="C23" s="37"/>
      <c r="D23" s="37"/>
      <c r="E23" s="38"/>
    </row>
    <row r="24" spans="1:5" ht="12.75">
      <c r="A24" s="31" t="s">
        <v>356</v>
      </c>
      <c r="B24" s="91"/>
      <c r="C24" s="83"/>
      <c r="D24" s="37"/>
      <c r="E24" s="38"/>
    </row>
    <row r="25" spans="1:5" ht="12.75">
      <c r="A25" s="16"/>
      <c r="B25" s="92"/>
      <c r="C25" s="37"/>
      <c r="D25" s="37"/>
      <c r="E25" s="38"/>
    </row>
    <row r="26" spans="1:5" ht="12.75">
      <c r="A26" s="16" t="s">
        <v>357</v>
      </c>
      <c r="B26" s="92"/>
      <c r="C26" s="37">
        <v>0</v>
      </c>
      <c r="D26" s="37"/>
      <c r="E26" s="38"/>
    </row>
    <row r="27" spans="1:5" ht="12.75">
      <c r="A27" s="16" t="s">
        <v>358</v>
      </c>
      <c r="B27" s="92"/>
      <c r="C27" s="83">
        <v>0</v>
      </c>
      <c r="D27" s="37"/>
      <c r="E27" s="38"/>
    </row>
    <row r="28" spans="1:5" ht="12.75">
      <c r="A28" s="16" t="s">
        <v>359</v>
      </c>
      <c r="B28" s="92"/>
      <c r="C28" s="37">
        <v>0</v>
      </c>
      <c r="D28" s="37"/>
      <c r="E28" s="38"/>
    </row>
    <row r="29" spans="1:5" ht="12.75">
      <c r="A29" s="16" t="s">
        <v>360</v>
      </c>
      <c r="B29" s="92"/>
      <c r="C29" s="37">
        <v>0</v>
      </c>
      <c r="D29" s="37"/>
      <c r="E29" s="38"/>
    </row>
    <row r="30" spans="1:5" ht="12.75">
      <c r="A30" s="85" t="s">
        <v>361</v>
      </c>
      <c r="B30" s="93"/>
      <c r="C30" s="86"/>
      <c r="D30" s="39"/>
      <c r="E30" s="94"/>
    </row>
    <row r="31" spans="1:5" ht="12.75">
      <c r="A31" s="41" t="s">
        <v>232</v>
      </c>
      <c r="B31" s="91"/>
      <c r="C31" s="95">
        <f>SUM(C26:C30)</f>
        <v>0</v>
      </c>
      <c r="D31" s="95"/>
      <c r="E31" s="40"/>
    </row>
    <row r="32" spans="1:5" ht="12.75">
      <c r="A32" s="16"/>
      <c r="B32" s="92"/>
      <c r="C32" s="37"/>
      <c r="D32" s="37"/>
      <c r="E32" s="38"/>
    </row>
    <row r="33" spans="1:5" ht="13.5" thickBot="1">
      <c r="A33" s="31" t="s">
        <v>362</v>
      </c>
      <c r="B33" s="97"/>
      <c r="C33" s="96" t="e">
        <f>C22+C31</f>
        <v>#REF!</v>
      </c>
      <c r="D33" s="96"/>
      <c r="E33" s="98"/>
    </row>
    <row r="34" ht="13.5" thickTop="1"/>
  </sheetData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I166"/>
  <sheetViews>
    <sheetView zoomScale="95" zoomScaleNormal="95" workbookViewId="0" topLeftCell="A1">
      <pane ySplit="12" topLeftCell="BM46" activePane="bottomLeft" state="frozen"/>
      <selection pane="topLeft" activeCell="M23" sqref="M23"/>
      <selection pane="bottomLeft" activeCell="E161" sqref="E161"/>
    </sheetView>
  </sheetViews>
  <sheetFormatPr defaultColWidth="9.140625" defaultRowHeight="12.75"/>
  <cols>
    <col min="1" max="1" width="40.8515625" style="2" bestFit="1" customWidth="1"/>
    <col min="2" max="2" width="12.421875" style="146" bestFit="1" customWidth="1"/>
    <col min="3" max="3" width="14.7109375" style="127" bestFit="1" customWidth="1"/>
    <col min="4" max="4" width="11.421875" style="146" bestFit="1" customWidth="1"/>
    <col min="5" max="5" width="10.00390625" style="200" bestFit="1" customWidth="1"/>
    <col min="6" max="6" width="2.28125" style="2" customWidth="1"/>
    <col min="7" max="7" width="13.00390625" style="2" bestFit="1" customWidth="1"/>
    <col min="8" max="8" width="9.8515625" style="2" bestFit="1" customWidth="1"/>
    <col min="9" max="9" width="9.28125" style="2" bestFit="1" customWidth="1"/>
    <col min="10" max="16384" width="9.140625" style="2" customWidth="1"/>
  </cols>
  <sheetData>
    <row r="1" spans="1:5" s="1" customFormat="1" ht="12.75">
      <c r="A1" s="1" t="s">
        <v>34</v>
      </c>
      <c r="B1" s="127"/>
      <c r="C1" s="127"/>
      <c r="D1" s="127"/>
      <c r="E1" s="196"/>
    </row>
    <row r="2" spans="2:5" s="1" customFormat="1" ht="12.75">
      <c r="B2" s="127"/>
      <c r="C2" s="127"/>
      <c r="D2" s="127"/>
      <c r="E2" s="196"/>
    </row>
    <row r="3" spans="1:5" s="1" customFormat="1" ht="12.75">
      <c r="A3" s="1" t="str">
        <f>'DETAILED SUMMARY'!A3</f>
        <v>BUDGET FOR YEAR TO 31 MARCH 2010</v>
      </c>
      <c r="B3" s="127"/>
      <c r="C3" s="127"/>
      <c r="D3" s="127"/>
      <c r="E3" s="196"/>
    </row>
    <row r="4" spans="2:5" s="1" customFormat="1" ht="12.75">
      <c r="B4" s="127"/>
      <c r="C4" s="127"/>
      <c r="D4" s="127"/>
      <c r="E4" s="196"/>
    </row>
    <row r="5" spans="2:5" s="1" customFormat="1" ht="12.75">
      <c r="B5" s="415" t="s">
        <v>94</v>
      </c>
      <c r="C5" s="416"/>
      <c r="D5" s="417"/>
      <c r="E5" s="196"/>
    </row>
    <row r="6" spans="2:5" s="1" customFormat="1" ht="12.75">
      <c r="B6" s="215"/>
      <c r="C6" s="127"/>
      <c r="D6" s="127"/>
      <c r="E6" s="196"/>
    </row>
    <row r="7" spans="2:5" s="1" customFormat="1" ht="12.75">
      <c r="B7" s="127"/>
      <c r="C7" s="127"/>
      <c r="D7" s="127"/>
      <c r="E7" s="196"/>
    </row>
    <row r="8" spans="2:5" s="1" customFormat="1" ht="12.75">
      <c r="B8" s="127"/>
      <c r="C8" s="127"/>
      <c r="D8" s="127"/>
      <c r="E8" s="196"/>
    </row>
    <row r="9" spans="2:5" s="1" customFormat="1" ht="12.75">
      <c r="B9" s="127"/>
      <c r="C9" s="127"/>
      <c r="D9" s="127"/>
      <c r="E9" s="196"/>
    </row>
    <row r="10" spans="2:5" s="1" customFormat="1" ht="12.75" customHeight="1">
      <c r="B10" s="198" t="s">
        <v>494</v>
      </c>
      <c r="C10" s="199" t="s">
        <v>279</v>
      </c>
      <c r="D10" s="127"/>
      <c r="E10" s="196"/>
    </row>
    <row r="11" spans="2:5" s="136" customFormat="1" ht="12.75">
      <c r="B11" s="136" t="s">
        <v>38</v>
      </c>
      <c r="C11" s="197" t="s">
        <v>476</v>
      </c>
      <c r="D11" s="144" t="s">
        <v>39</v>
      </c>
      <c r="E11" s="197" t="s">
        <v>39</v>
      </c>
    </row>
    <row r="12" spans="2:5" s="136" customFormat="1" ht="12.75">
      <c r="B12" s="136" t="s">
        <v>40</v>
      </c>
      <c r="C12" s="197" t="s">
        <v>40</v>
      </c>
      <c r="D12" s="144" t="s">
        <v>40</v>
      </c>
      <c r="E12" s="197" t="s">
        <v>41</v>
      </c>
    </row>
    <row r="13" spans="2:5" s="136" customFormat="1" ht="12.75">
      <c r="B13" s="144"/>
      <c r="C13" s="144"/>
      <c r="D13" s="144"/>
      <c r="E13" s="197"/>
    </row>
    <row r="14" ht="12.75">
      <c r="A14" s="1" t="s">
        <v>42</v>
      </c>
    </row>
    <row r="15" spans="1:5" ht="12.75">
      <c r="A15" s="2" t="s">
        <v>17</v>
      </c>
      <c r="B15" s="146">
        <f>'Chief Exec'!C12+Secretariat!C12+'App &amp; Mon'!C12+Registration!C12+'Ops Off'!C12+'IT'!C12+Finance!C12+'Fac Man'!C12+Fitness!C12+'HR'!C12+Partners!C12+Communications!C12+Policy!C12</f>
        <v>4083319.25</v>
      </c>
      <c r="C15" s="151">
        <f>'Chief Exec'!E12+Secretariat!E12+'App &amp; Mon'!E12+Registration!E12+'Ops Off'!E12+'IT'!E12+Finance!E12+'Fac Man'!E12+Fitness!E12+'HR'!E12+Partners!E12+Communications!E12+Policy!E12</f>
        <v>3622437.9525</v>
      </c>
      <c r="D15" s="146">
        <f aca="true" t="shared" si="0" ref="D15:D23">B15-C15</f>
        <v>460881.29749999987</v>
      </c>
      <c r="E15" s="200">
        <f>IF(C15=0,0,(D15/C15*100))</f>
        <v>12.72295905529385</v>
      </c>
    </row>
    <row r="16" spans="1:5" ht="12.75">
      <c r="A16" s="2" t="s">
        <v>43</v>
      </c>
      <c r="B16" s="146">
        <f>'App &amp; Mon'!C13+Registration!C13+'IT'!C13+Finance!C13+'Fac Man'!C13+Fitness!C13+'HR'!C13+Communications!C13+Policy!C13</f>
        <v>108058</v>
      </c>
      <c r="C16" s="151">
        <f>'App &amp; Mon'!E13+Registration!E13+'IT'!E13+Finance!E13+'Fac Man'!E13+Fitness!E13+'HR'!E13+Communications!E13+Policy!E13</f>
        <v>34718.44</v>
      </c>
      <c r="D16" s="146">
        <f t="shared" si="0"/>
        <v>73339.56</v>
      </c>
      <c r="E16" s="200">
        <f aca="true" t="shared" si="1" ref="E16:E23">IF(C16=0,0,(D16/C16*100))</f>
        <v>211.24094285342312</v>
      </c>
    </row>
    <row r="17" spans="1:7" ht="12.75">
      <c r="A17" s="2" t="s">
        <v>431</v>
      </c>
      <c r="B17" s="146">
        <f>'Chief Exec'!C13+Secretariat!C13+'App &amp; Mon'!C14+Registration!C14+'Ops Off'!C13+'IT'!C14+Finance!C14+'Fac Man'!C14+Fitness!C14+'HR'!C14+Partners!C13+Communications!C14+Policy!C14</f>
        <v>522664.864</v>
      </c>
      <c r="C17" s="151">
        <f>'Chief Exec'!E13+Secretariat!E13+'App &amp; Mon'!E14+Registration!E14+'Ops Off'!E13+'IT'!E14+Finance!E14+'Fac Man'!E14+Fitness!E14+'HR'!E14+Partners!E13+Communications!E14+Policy!E14</f>
        <v>463672.05791999993</v>
      </c>
      <c r="D17" s="146">
        <f t="shared" si="0"/>
        <v>58992.80608000007</v>
      </c>
      <c r="E17" s="200">
        <f t="shared" si="1"/>
        <v>12.72295905529387</v>
      </c>
      <c r="G17" s="2">
        <f>B15*12.8%</f>
        <v>522664.864</v>
      </c>
    </row>
    <row r="18" spans="1:5" ht="12.75">
      <c r="A18" s="2" t="s">
        <v>19</v>
      </c>
      <c r="B18" s="146">
        <f>'Chief Exec'!C14+Secretariat!C14+'App &amp; Mon'!C15+Registration!C15+'Ops Off'!C14+'IT'!C15+Finance!C15+'Fac Man'!C15+Fitness!C15+'HR'!C15+Partners!C14+Communications!C15+Policy!C15</f>
        <v>350116.00275000004</v>
      </c>
      <c r="C18" s="151">
        <f>'Chief Exec'!E14+Secretariat!E14+'App &amp; Mon'!E15+Registration!E15+'Ops Off'!E14+'IT'!E15+Finance!E15+'Fac Man'!E15+Fitness!E15+'HR'!E15+Partners!E14+Communications!E15+Policy!E15</f>
        <v>301049.637145</v>
      </c>
      <c r="D18" s="146">
        <f t="shared" si="0"/>
        <v>49066.36560500006</v>
      </c>
      <c r="E18" s="200">
        <f t="shared" si="1"/>
        <v>16.298430408460295</v>
      </c>
    </row>
    <row r="19" spans="1:5" ht="12.75">
      <c r="A19" s="2" t="s">
        <v>44</v>
      </c>
      <c r="B19" s="146">
        <f>'Chief Exec'!C15</f>
        <v>1400</v>
      </c>
      <c r="C19" s="151">
        <f>'Chief Exec'!E15</f>
        <v>1328</v>
      </c>
      <c r="D19" s="146">
        <f t="shared" si="0"/>
        <v>72</v>
      </c>
      <c r="E19" s="200">
        <f t="shared" si="1"/>
        <v>5.421686746987952</v>
      </c>
    </row>
    <row r="20" spans="1:5" ht="12.75">
      <c r="A20" s="2" t="s">
        <v>45</v>
      </c>
      <c r="B20" s="146">
        <f>'HR'!C16</f>
        <v>100000</v>
      </c>
      <c r="C20" s="151">
        <f>'HR'!E16</f>
        <v>160000</v>
      </c>
      <c r="D20" s="146">
        <f t="shared" si="0"/>
        <v>-60000</v>
      </c>
      <c r="E20" s="200">
        <f t="shared" si="1"/>
        <v>-37.5</v>
      </c>
    </row>
    <row r="21" spans="1:5" ht="12.75">
      <c r="A21" s="2" t="s">
        <v>46</v>
      </c>
      <c r="B21" s="146">
        <f>Secretariat!C15+'App &amp; Mon'!C16+Registration!C16+'Ops Off'!C15+'IT'!C16+Finance!C16+'Fac Man'!C16+Fitness!C16+'HR'!C17+Partners!C15+Communications!C16+Policy!C16</f>
        <v>142375.71602902375</v>
      </c>
      <c r="C21" s="151">
        <f>Secretariat!E15+'App &amp; Mon'!E16+Registration!E16+'Ops Off'!E15+'IT'!E16+Finance!E16+'Fac Man'!E16+Fitness!E16+'HR'!E17+Partners!E15+Communications!E16+Policy!E16+'Chief Exec'!E16</f>
        <v>222427</v>
      </c>
      <c r="D21" s="146">
        <f t="shared" si="0"/>
        <v>-80051.28397097625</v>
      </c>
      <c r="E21" s="200">
        <f t="shared" si="1"/>
        <v>-35.98991308203422</v>
      </c>
    </row>
    <row r="22" spans="1:5" ht="12.75">
      <c r="A22" s="2" t="s">
        <v>455</v>
      </c>
      <c r="B22" s="146">
        <f>'HR'!C18</f>
        <v>15000</v>
      </c>
      <c r="C22" s="151">
        <f>'HR'!E18</f>
        <v>15000</v>
      </c>
      <c r="D22" s="146">
        <f t="shared" si="0"/>
        <v>0</v>
      </c>
      <c r="E22" s="200">
        <f t="shared" si="1"/>
        <v>0</v>
      </c>
    </row>
    <row r="23" spans="2:7" ht="12.75">
      <c r="B23" s="153">
        <f>SUM(B15:B22)</f>
        <v>5322933.832779024</v>
      </c>
      <c r="C23" s="123">
        <f>SUM(C15:C22)</f>
        <v>4820633.087565</v>
      </c>
      <c r="D23" s="153">
        <f t="shared" si="0"/>
        <v>502300.7452140236</v>
      </c>
      <c r="E23" s="216">
        <f t="shared" si="1"/>
        <v>10.419808686741309</v>
      </c>
      <c r="G23" s="146"/>
    </row>
    <row r="24" spans="2:4" ht="12.75">
      <c r="B24" s="155"/>
      <c r="C24" s="170"/>
      <c r="D24" s="155"/>
    </row>
    <row r="25" ht="12.75">
      <c r="A25" s="161" t="s">
        <v>177</v>
      </c>
    </row>
    <row r="26" spans="1:7" ht="12.75">
      <c r="A26" s="2" t="s">
        <v>49</v>
      </c>
      <c r="B26" s="146">
        <f>'Chief Exec'!C19+Secretariat!C18+'App &amp; Mon'!C19+Registration!C19+'Ops Off'!C18+'IT'!C20+Finance!C19+'Fac Man'!C20+Fitness!C19+'HR'!C21+Partners!C18+Communications!C19+Policy!C19</f>
        <v>136790</v>
      </c>
      <c r="C26" s="151">
        <f>'Chief Exec'!E19+Secretariat!E18+'App &amp; Mon'!E19+Registration!E19+'Ops Off'!E18+'IT'!E20+Finance!E19+'Fac Man'!E20+Fitness!E19+'HR'!E21+Partners!E18+Communications!E19+Policy!E19</f>
        <v>133619</v>
      </c>
      <c r="D26" s="146">
        <f aca="true" t="shared" si="2" ref="D26:D31">B26-C26</f>
        <v>3171</v>
      </c>
      <c r="E26" s="200">
        <f aca="true" t="shared" si="3" ref="E26:E31">IF(C26=0,0,(D26/C26*100))</f>
        <v>2.3731654929313946</v>
      </c>
      <c r="G26" s="337"/>
    </row>
    <row r="27" spans="1:7" ht="12.75">
      <c r="A27" s="2" t="s">
        <v>138</v>
      </c>
      <c r="B27" s="146">
        <f>'Fac Man'!C21</f>
        <v>1500</v>
      </c>
      <c r="C27" s="151">
        <f>'Fac Man'!E21</f>
        <v>1500</v>
      </c>
      <c r="D27" s="146">
        <f t="shared" si="2"/>
        <v>0</v>
      </c>
      <c r="E27" s="200">
        <f t="shared" si="3"/>
        <v>0</v>
      </c>
      <c r="G27" s="337"/>
    </row>
    <row r="28" spans="1:7" ht="12.75">
      <c r="A28" s="2" t="s">
        <v>50</v>
      </c>
      <c r="B28" s="146">
        <f>'Chief Exec'!C20+Secretariat!C19+'App &amp; Mon'!C20+Registration!C20+'Ops Off'!C19+'IT'!C21+Finance!C20+'Fac Man'!C22+Fitness!C20+'HR'!C22+Partners!C19+Communications!C20+Policy!C20</f>
        <v>62291</v>
      </c>
      <c r="C28" s="151">
        <f>'Chief Exec'!E20+Secretariat!E19+'App &amp; Mon'!E20+Registration!E20+'Ops Off'!E19+'IT'!E21+Finance!E20+'Fac Man'!E22+Fitness!E20+'HR'!E22+Partners!E19+Communications!E20+Policy!E20</f>
        <v>71145</v>
      </c>
      <c r="D28" s="146">
        <f t="shared" si="2"/>
        <v>-8854</v>
      </c>
      <c r="E28" s="200">
        <f t="shared" si="3"/>
        <v>-12.445006676505727</v>
      </c>
      <c r="G28" s="337"/>
    </row>
    <row r="29" spans="1:7" ht="12.75">
      <c r="A29" s="2" t="s">
        <v>51</v>
      </c>
      <c r="B29" s="146">
        <f>'Chief Exec'!C21+Communications!C21</f>
        <v>3000</v>
      </c>
      <c r="C29" s="151">
        <f>'Chief Exec'!E21+Communications!E21</f>
        <v>4000</v>
      </c>
      <c r="D29" s="146">
        <f t="shared" si="2"/>
        <v>-1000</v>
      </c>
      <c r="E29" s="200">
        <f t="shared" si="3"/>
        <v>-25</v>
      </c>
      <c r="G29" s="337"/>
    </row>
    <row r="30" spans="1:7" ht="12.75">
      <c r="A30" s="2" t="s">
        <v>95</v>
      </c>
      <c r="B30" s="146">
        <f>'Chief Exec'!C22+Secretariat!C20+'App &amp; Mon'!C21+Registration!C21+Fitness!C21+'HR'!C24+Policy!C21</f>
        <v>14950</v>
      </c>
      <c r="C30" s="151">
        <f>'Chief Exec'!E22+Secretariat!E20+'App &amp; Mon'!E21+Registration!E21+Fitness!E21+'HR'!E24+Policy!E21</f>
        <v>27388</v>
      </c>
      <c r="D30" s="146">
        <f t="shared" si="2"/>
        <v>-12438</v>
      </c>
      <c r="E30" s="200">
        <f t="shared" si="3"/>
        <v>-45.41404994888272</v>
      </c>
      <c r="G30" s="337"/>
    </row>
    <row r="31" spans="2:7" ht="12.75">
      <c r="B31" s="153">
        <f>SUM(B26:B30)</f>
        <v>218531</v>
      </c>
      <c r="C31" s="123">
        <f>SUM(C26:C30)</f>
        <v>237652</v>
      </c>
      <c r="D31" s="153">
        <f t="shared" si="2"/>
        <v>-19121</v>
      </c>
      <c r="E31" s="216">
        <f t="shared" si="3"/>
        <v>-8.045798057664147</v>
      </c>
      <c r="G31" s="337"/>
    </row>
    <row r="32" spans="2:4" ht="12.75">
      <c r="B32" s="155"/>
      <c r="C32" s="170"/>
      <c r="D32" s="155"/>
    </row>
    <row r="33" ht="12.75">
      <c r="A33" s="161" t="s">
        <v>76</v>
      </c>
    </row>
    <row r="34" spans="1:7" ht="12.75">
      <c r="A34" s="2" t="s">
        <v>74</v>
      </c>
      <c r="B34" s="146">
        <f>Council!C13+Council!C15+Council!C17+Council!C19+Council!C21+Council!C23+Council!C25+Council!C27+Council!C29+Council!C31+'App &amp; Mon'!C24+Fitness!C24+President!C13+Policy!C24</f>
        <v>197006</v>
      </c>
      <c r="C34" s="151">
        <f>Council!E13+Council!E15+Council!E17+Council!E19+Council!E21+Council!E23+Council!E25+Council!E27+Council!E29+Council!E31+'App &amp; Mon'!E24+President!E13</f>
        <v>208816</v>
      </c>
      <c r="D34" s="146">
        <f aca="true" t="shared" si="4" ref="D34:D39">B34-C34</f>
        <v>-11810</v>
      </c>
      <c r="E34" s="200">
        <f aca="true" t="shared" si="5" ref="E34:E39">IF(C34=0,0,(D34/C34*100))</f>
        <v>-5.655696881465023</v>
      </c>
      <c r="G34" s="337"/>
    </row>
    <row r="35" spans="1:7" ht="12.75">
      <c r="A35" s="2" t="s">
        <v>47</v>
      </c>
      <c r="B35" s="146">
        <f>Council!C14+Council!C16+Council!C18+Council!C20+Council!C22+Council!C24+Council!C26+Council!C28+Council!C30+Council!C32+'App &amp; Mon'!C25+Fitness!C25+President!C14+Policy!C25</f>
        <v>148030</v>
      </c>
      <c r="C35" s="151">
        <f>Council!E14+Council!E16+Council!E18+Council!E20+Council!E22+Council!E24+Council!E26+Council!E28+Council!E30+Council!E32+'App &amp; Mon'!E25+President!E14</f>
        <v>150069.64705882352</v>
      </c>
      <c r="D35" s="146">
        <f t="shared" si="4"/>
        <v>-2039.6470588235243</v>
      </c>
      <c r="E35" s="200">
        <f t="shared" si="5"/>
        <v>-1.359133641477836</v>
      </c>
      <c r="G35" s="337"/>
    </row>
    <row r="36" spans="1:7" ht="12.75">
      <c r="A36" s="2" t="s">
        <v>234</v>
      </c>
      <c r="B36" s="146">
        <f>Council!C38</f>
        <v>36000</v>
      </c>
      <c r="C36" s="151">
        <f>Council!E38</f>
        <v>36000</v>
      </c>
      <c r="D36" s="146">
        <f t="shared" si="4"/>
        <v>0</v>
      </c>
      <c r="E36" s="200">
        <f t="shared" si="5"/>
        <v>0</v>
      </c>
      <c r="G36" s="337"/>
    </row>
    <row r="37" spans="1:7" ht="12.75">
      <c r="A37" s="2" t="s">
        <v>75</v>
      </c>
      <c r="B37" s="146">
        <f>Council!C36+President!C15</f>
        <v>25400</v>
      </c>
      <c r="C37" s="151">
        <f>Council!E36+President!E15</f>
        <v>25400</v>
      </c>
      <c r="D37" s="146">
        <f t="shared" si="4"/>
        <v>0</v>
      </c>
      <c r="E37" s="200">
        <f t="shared" si="5"/>
        <v>0</v>
      </c>
      <c r="G37" s="337"/>
    </row>
    <row r="38" spans="1:7" ht="12.75">
      <c r="A38" s="2" t="s">
        <v>82</v>
      </c>
      <c r="B38" s="146">
        <f>Council!C37</f>
        <v>9600</v>
      </c>
      <c r="C38" s="151">
        <f>Council!E37</f>
        <v>25000</v>
      </c>
      <c r="D38" s="146">
        <f t="shared" si="4"/>
        <v>-15400</v>
      </c>
      <c r="E38" s="200">
        <f t="shared" si="5"/>
        <v>-61.6</v>
      </c>
      <c r="G38" s="337"/>
    </row>
    <row r="39" spans="2:7" ht="12.75">
      <c r="B39" s="153">
        <f>SUM(B34:B38)</f>
        <v>416036</v>
      </c>
      <c r="C39" s="123">
        <f>SUM(C34:C38)</f>
        <v>445285.6470588235</v>
      </c>
      <c r="D39" s="153">
        <f t="shared" si="4"/>
        <v>-29249.647058823495</v>
      </c>
      <c r="E39" s="216">
        <f t="shared" si="5"/>
        <v>-6.568737899373509</v>
      </c>
      <c r="G39" s="337"/>
    </row>
    <row r="40" spans="2:4" ht="12.75">
      <c r="B40" s="155"/>
      <c r="C40" s="170"/>
      <c r="D40" s="155"/>
    </row>
    <row r="41" ht="12.75">
      <c r="A41" s="1" t="s">
        <v>111</v>
      </c>
    </row>
    <row r="42" spans="1:5" ht="12.75">
      <c r="A42" s="149" t="s">
        <v>52</v>
      </c>
      <c r="B42" s="146">
        <f>'Fac Man'!C26+'22-26 Stannary St'!C12</f>
        <v>95000</v>
      </c>
      <c r="C42" s="151">
        <f>'Fac Man'!E26+'22-26 Stannary St'!E12</f>
        <v>111000</v>
      </c>
      <c r="D42" s="146">
        <f aca="true" t="shared" si="6" ref="D42:D54">B42-C42</f>
        <v>-16000</v>
      </c>
      <c r="E42" s="200">
        <f aca="true" t="shared" si="7" ref="E42:E54">IF(C42=0,0,(D42/C42*100))</f>
        <v>-14.414414414414415</v>
      </c>
    </row>
    <row r="43" spans="1:5" ht="12.75">
      <c r="A43" s="2" t="s">
        <v>53</v>
      </c>
      <c r="B43" s="146">
        <f>'Fac Man'!C27+'22-26 Stannary St'!C13</f>
        <v>3100</v>
      </c>
      <c r="C43" s="151">
        <f>'Fac Man'!E27+'22-26 Stannary St'!E13</f>
        <v>2120</v>
      </c>
      <c r="D43" s="146">
        <f t="shared" si="6"/>
        <v>980</v>
      </c>
      <c r="E43" s="200">
        <f t="shared" si="7"/>
        <v>46.22641509433962</v>
      </c>
    </row>
    <row r="44" spans="1:5" ht="12.75">
      <c r="A44" s="2" t="s">
        <v>54</v>
      </c>
      <c r="B44" s="146">
        <f>'Fac Man'!C28+'22-26 Stannary St'!C14</f>
        <v>59000</v>
      </c>
      <c r="C44" s="151">
        <f>'Fac Man'!E28+'22-26 Stannary St'!E14</f>
        <v>34000</v>
      </c>
      <c r="D44" s="146">
        <f t="shared" si="6"/>
        <v>25000</v>
      </c>
      <c r="E44" s="200">
        <f t="shared" si="7"/>
        <v>73.52941176470588</v>
      </c>
    </row>
    <row r="45" spans="1:5" ht="12.75">
      <c r="A45" s="149" t="s">
        <v>55</v>
      </c>
      <c r="B45" s="146">
        <f>'Fac Man'!C29+'22-26 Stannary St'!C15</f>
        <v>22000</v>
      </c>
      <c r="C45" s="151">
        <f>'Fac Man'!E29+'22-26 Stannary St'!E15</f>
        <v>10400</v>
      </c>
      <c r="D45" s="146">
        <f t="shared" si="6"/>
        <v>11600</v>
      </c>
      <c r="E45" s="200">
        <f t="shared" si="7"/>
        <v>111.53846153846155</v>
      </c>
    </row>
    <row r="46" spans="1:5" ht="12.75">
      <c r="A46" s="2" t="s">
        <v>56</v>
      </c>
      <c r="B46" s="146">
        <f>'Fac Man'!C30+'22-26 Stannary St'!C16</f>
        <v>42000</v>
      </c>
      <c r="C46" s="151">
        <f>'Fac Man'!E30+'22-26 Stannary St'!E16</f>
        <v>55000</v>
      </c>
      <c r="D46" s="146">
        <f t="shared" si="6"/>
        <v>-13000</v>
      </c>
      <c r="E46" s="200">
        <f t="shared" si="7"/>
        <v>-23.636363636363637</v>
      </c>
    </row>
    <row r="47" spans="1:5" ht="12.75">
      <c r="A47" s="2" t="s">
        <v>57</v>
      </c>
      <c r="B47" s="146">
        <f>'Fac Man'!C31+'22-26 Stannary St'!C17</f>
        <v>5000</v>
      </c>
      <c r="C47" s="151">
        <f>'Fac Man'!E31+'22-26 Stannary St'!E17</f>
        <v>7200</v>
      </c>
      <c r="D47" s="146">
        <f t="shared" si="6"/>
        <v>-2200</v>
      </c>
      <c r="E47" s="200">
        <f t="shared" si="7"/>
        <v>-30.555555555555557</v>
      </c>
    </row>
    <row r="48" spans="1:5" ht="12.75">
      <c r="A48" s="2" t="s">
        <v>58</v>
      </c>
      <c r="B48" s="146">
        <f>'Fac Man'!C32+'22-26 Stannary St'!C18</f>
        <v>15000</v>
      </c>
      <c r="C48" s="151">
        <f>'Fac Man'!E32+'22-26 Stannary St'!E18</f>
        <v>15000</v>
      </c>
      <c r="D48" s="146">
        <f t="shared" si="6"/>
        <v>0</v>
      </c>
      <c r="E48" s="200">
        <f t="shared" si="7"/>
        <v>0</v>
      </c>
    </row>
    <row r="49" spans="1:5" ht="12.75">
      <c r="A49" s="2" t="s">
        <v>59</v>
      </c>
      <c r="B49" s="146">
        <f>'Fac Man'!C33+'22-26 Stannary St'!C19</f>
        <v>26800</v>
      </c>
      <c r="C49" s="151">
        <f>'Fac Man'!E33+'22-26 Stannary St'!E19</f>
        <v>35176</v>
      </c>
      <c r="D49" s="146">
        <f t="shared" si="6"/>
        <v>-8376</v>
      </c>
      <c r="E49" s="200">
        <f t="shared" si="7"/>
        <v>-23.811689788492156</v>
      </c>
    </row>
    <row r="50" spans="1:5" ht="12.75">
      <c r="A50" s="2" t="s">
        <v>60</v>
      </c>
      <c r="B50" s="146">
        <f>'Fac Man'!C34+'22-26 Stannary St'!C20</f>
        <v>16034</v>
      </c>
      <c r="C50" s="151">
        <f>'Fac Man'!E34+'22-26 Stannary St'!E20</f>
        <v>26596</v>
      </c>
      <c r="D50" s="146">
        <f t="shared" si="6"/>
        <v>-10562</v>
      </c>
      <c r="E50" s="200">
        <f t="shared" si="7"/>
        <v>-39.712738757707925</v>
      </c>
    </row>
    <row r="51" spans="1:5" ht="12.75">
      <c r="A51" s="2" t="s">
        <v>61</v>
      </c>
      <c r="B51" s="146">
        <f>'Fac Man'!C35+'22-26 Stannary St'!C21+Fitness!C28</f>
        <v>43500</v>
      </c>
      <c r="C51" s="151">
        <f>'Fac Man'!E35+'22-26 Stannary St'!E21+Fitness!E28</f>
        <v>28776</v>
      </c>
      <c r="D51" s="146">
        <f t="shared" si="6"/>
        <v>14724</v>
      </c>
      <c r="E51" s="200">
        <f t="shared" si="7"/>
        <v>51.16763969974979</v>
      </c>
    </row>
    <row r="52" spans="1:5" ht="12.75">
      <c r="A52" s="2" t="s">
        <v>181</v>
      </c>
      <c r="B52" s="146">
        <f>'Fac Man'!C36+'22-26 Stannary St'!C22</f>
        <v>49000</v>
      </c>
      <c r="C52" s="151">
        <f>'Fac Man'!E36+'22-26 Stannary St'!E22</f>
        <v>82360</v>
      </c>
      <c r="D52" s="146">
        <f t="shared" si="6"/>
        <v>-33360</v>
      </c>
      <c r="E52" s="200">
        <f t="shared" si="7"/>
        <v>-40.50509956289461</v>
      </c>
    </row>
    <row r="53" spans="1:5" ht="12.75">
      <c r="A53" s="2" t="s">
        <v>62</v>
      </c>
      <c r="B53" s="146">
        <f>Dep!C12</f>
        <v>42200</v>
      </c>
      <c r="C53" s="151">
        <f>Dep!E12</f>
        <v>52704</v>
      </c>
      <c r="D53" s="146">
        <f t="shared" si="6"/>
        <v>-10504</v>
      </c>
      <c r="E53" s="200">
        <f t="shared" si="7"/>
        <v>-19.93017607771706</v>
      </c>
    </row>
    <row r="54" spans="2:7" ht="12.75">
      <c r="B54" s="153">
        <f>SUM(B42:B53)</f>
        <v>418634</v>
      </c>
      <c r="C54" s="123">
        <f>SUM(C42:C53)</f>
        <v>460332</v>
      </c>
      <c r="D54" s="153">
        <f t="shared" si="6"/>
        <v>-41698</v>
      </c>
      <c r="E54" s="216">
        <f t="shared" si="7"/>
        <v>-9.05824491888463</v>
      </c>
      <c r="G54" s="146"/>
    </row>
    <row r="55" spans="2:4" ht="12.75">
      <c r="B55" s="155"/>
      <c r="C55" s="170"/>
      <c r="D55" s="155"/>
    </row>
    <row r="56" spans="1:3" ht="12.75">
      <c r="A56" s="161" t="s">
        <v>63</v>
      </c>
      <c r="C56" s="147"/>
    </row>
    <row r="57" spans="1:5" ht="12.75">
      <c r="A57" s="149" t="s">
        <v>140</v>
      </c>
      <c r="B57" s="146">
        <f>Secretariat!C23+'App &amp; Mon'!C28+Registration!C24+'Ops Off'!C25+'IT'!C24+Finance!C23+'Fac Man'!C40+Fitness!C32+'HR'!C27+Partners!C24+Communications!C24+Policy!C28</f>
        <v>589737</v>
      </c>
      <c r="C57" s="151">
        <f>Secretariat!E23+'App &amp; Mon'!E28+Registration!E24+'Ops Off'!E25+'IT'!E24+Finance!E23+'Fac Man'!E40+Fitness!E32+'HR'!E27+Partners!E24+Communications!E24+Policy!E28</f>
        <v>452199</v>
      </c>
      <c r="D57" s="146">
        <f aca="true" t="shared" si="8" ref="D57:D72">B57-C57</f>
        <v>137538</v>
      </c>
      <c r="E57" s="200">
        <f aca="true" t="shared" si="9" ref="E57:E72">IF(C57=0,0,(D57/C57*100))</f>
        <v>30.415370224171216</v>
      </c>
    </row>
    <row r="58" spans="1:5" ht="12.75">
      <c r="A58" s="2" t="s">
        <v>67</v>
      </c>
      <c r="B58" s="146">
        <f>'Fac Man'!C41</f>
        <v>10000</v>
      </c>
      <c r="C58" s="151">
        <f>'Fac Man'!E41</f>
        <v>15000</v>
      </c>
      <c r="D58" s="146">
        <f t="shared" si="8"/>
        <v>-5000</v>
      </c>
      <c r="E58" s="200">
        <f t="shared" si="9"/>
        <v>-33.33333333333333</v>
      </c>
    </row>
    <row r="59" spans="1:5" ht="12.75">
      <c r="A59" s="149" t="s">
        <v>64</v>
      </c>
      <c r="B59" s="146">
        <f>'Fac Man'!C42</f>
        <v>60000</v>
      </c>
      <c r="C59" s="151">
        <f>'Fac Man'!E42</f>
        <v>95000</v>
      </c>
      <c r="D59" s="146">
        <f t="shared" si="8"/>
        <v>-35000</v>
      </c>
      <c r="E59" s="200">
        <f t="shared" si="9"/>
        <v>-36.84210526315789</v>
      </c>
    </row>
    <row r="60" spans="1:5" ht="12.75">
      <c r="A60" s="2" t="s">
        <v>65</v>
      </c>
      <c r="B60" s="146">
        <f>'Fac Man'!C43</f>
        <v>50000</v>
      </c>
      <c r="C60" s="151">
        <f>'Fac Man'!E43</f>
        <v>48000</v>
      </c>
      <c r="D60" s="146">
        <f t="shared" si="8"/>
        <v>2000</v>
      </c>
      <c r="E60" s="200">
        <f t="shared" si="9"/>
        <v>4.166666666666666</v>
      </c>
    </row>
    <row r="61" spans="1:5" ht="12.75">
      <c r="A61" s="2" t="s">
        <v>66</v>
      </c>
      <c r="B61" s="146">
        <f>'Chief Exec'!C25+Secretariat!C25+'App &amp; Mon'!C31+Registration!C25+'Ops Off'!C26+'IT'!C25+Finance!C25+'Fac Man'!C39+Fitness!C35+'HR'!C30+Partners!C26+Communications!C25+Policy!C29+President!C19</f>
        <v>13578.25</v>
      </c>
      <c r="C61" s="151">
        <f>'Chief Exec'!E25+Secretariat!E25+'App &amp; Mon'!E31+Registration!E25+'Ops Off'!E26+'IT'!E25+Finance!E25+'Fac Man'!E39+Fitness!E35+'HR'!E30+Partners!E26+Communications!E25+Policy!E29+President!E19</f>
        <v>11461.53</v>
      </c>
      <c r="D61" s="146">
        <f t="shared" si="8"/>
        <v>2116.7199999999993</v>
      </c>
      <c r="E61" s="200">
        <f t="shared" si="9"/>
        <v>18.46804047976142</v>
      </c>
    </row>
    <row r="62" spans="1:5" ht="12.75">
      <c r="A62" s="149" t="s">
        <v>430</v>
      </c>
      <c r="B62" s="146">
        <f>Fitness!C34</f>
        <v>7500</v>
      </c>
      <c r="C62" s="151">
        <f>Fitness!E34</f>
        <v>500</v>
      </c>
      <c r="D62" s="146">
        <f t="shared" si="8"/>
        <v>7000</v>
      </c>
      <c r="E62" s="200">
        <f t="shared" si="9"/>
        <v>1400</v>
      </c>
    </row>
    <row r="63" spans="1:5" ht="12.75">
      <c r="A63" s="2" t="s">
        <v>68</v>
      </c>
      <c r="B63" s="146">
        <f>Finance!C26+'Fac Man'!C44+'HR'!C28</f>
        <v>2495</v>
      </c>
      <c r="C63" s="151">
        <f>Finance!E26+'Fac Man'!E44+'HR'!E28</f>
        <v>12000</v>
      </c>
      <c r="D63" s="146">
        <f t="shared" si="8"/>
        <v>-9505</v>
      </c>
      <c r="E63" s="200">
        <f t="shared" si="9"/>
        <v>-79.20833333333334</v>
      </c>
    </row>
    <row r="64" spans="1:5" ht="12.75">
      <c r="A64" s="2" t="s">
        <v>218</v>
      </c>
      <c r="B64" s="146">
        <f>'Fac Man'!C45</f>
        <v>14450</v>
      </c>
      <c r="C64" s="151">
        <f>'Fac Man'!E45</f>
        <v>40000</v>
      </c>
      <c r="D64" s="146">
        <f t="shared" si="8"/>
        <v>-25550</v>
      </c>
      <c r="E64" s="200">
        <f t="shared" si="9"/>
        <v>-63.87500000000001</v>
      </c>
    </row>
    <row r="65" spans="1:5" ht="12.75">
      <c r="A65" s="2" t="s">
        <v>69</v>
      </c>
      <c r="B65" s="146">
        <f>'Fac Man'!C46</f>
        <v>5400</v>
      </c>
      <c r="C65" s="151">
        <f>'Fac Man'!E46</f>
        <v>5000</v>
      </c>
      <c r="D65" s="146">
        <f t="shared" si="8"/>
        <v>400</v>
      </c>
      <c r="E65" s="200">
        <f t="shared" si="9"/>
        <v>8</v>
      </c>
    </row>
    <row r="66" spans="1:5" ht="12.75">
      <c r="A66" s="2" t="s">
        <v>137</v>
      </c>
      <c r="B66" s="146">
        <f>Council!C35+'App &amp; Mon'!C30+Fitness!C29+'Fac Man'!C47</f>
        <v>77310</v>
      </c>
      <c r="C66" s="151">
        <f>Council!E35+'App &amp; Mon'!E30+Fitness!E29+'Fac Man'!E47</f>
        <v>54850</v>
      </c>
      <c r="D66" s="146">
        <f t="shared" si="8"/>
        <v>22460</v>
      </c>
      <c r="E66" s="200">
        <f t="shared" si="9"/>
        <v>40.94804010938925</v>
      </c>
    </row>
    <row r="67" spans="1:5" ht="12.75">
      <c r="A67" s="149" t="s">
        <v>70</v>
      </c>
      <c r="B67" s="146">
        <f>'Fac Man'!C48+'22-26 Stannary St'!C28</f>
        <v>37800</v>
      </c>
      <c r="C67" s="151">
        <f>'Fac Man'!E48+'22-26 Stannary St'!E28</f>
        <v>44700</v>
      </c>
      <c r="D67" s="146">
        <f t="shared" si="8"/>
        <v>-6900</v>
      </c>
      <c r="E67" s="200">
        <f t="shared" si="9"/>
        <v>-15.436241610738255</v>
      </c>
    </row>
    <row r="68" spans="1:5" ht="12.75">
      <c r="A68" s="149" t="s">
        <v>224</v>
      </c>
      <c r="B68" s="146">
        <f>Secretariat!C24+'App &amp; Mon'!C29+Finance!C24+'Fac Man'!C50+Fitness!C33+'HR'!C29+Partners!C25</f>
        <v>114760</v>
      </c>
      <c r="C68" s="151">
        <f>Secretariat!E24+'App &amp; Mon'!E29+Finance!E24+'Fac Man'!E50+Fitness!E33+'HR'!E29+Partners!E25</f>
        <v>207987</v>
      </c>
      <c r="D68" s="146">
        <f t="shared" si="8"/>
        <v>-93227</v>
      </c>
      <c r="E68" s="200">
        <f t="shared" si="9"/>
        <v>-44.82347454408208</v>
      </c>
    </row>
    <row r="69" spans="1:5" ht="12.75" customHeight="1">
      <c r="A69" s="149" t="s">
        <v>27</v>
      </c>
      <c r="B69" s="146">
        <f>'Fac Man'!C49</f>
        <v>1000</v>
      </c>
      <c r="C69" s="151">
        <v>0</v>
      </c>
      <c r="D69" s="146">
        <f t="shared" si="8"/>
        <v>1000</v>
      </c>
      <c r="E69" s="200">
        <f t="shared" si="9"/>
        <v>0</v>
      </c>
    </row>
    <row r="70" spans="1:5" ht="12.75">
      <c r="A70" s="149" t="s">
        <v>28</v>
      </c>
      <c r="B70" s="146">
        <f>Dep!C15</f>
        <v>26378</v>
      </c>
      <c r="C70" s="151">
        <f>Dep!E15</f>
        <v>28040</v>
      </c>
      <c r="D70" s="146">
        <f t="shared" si="8"/>
        <v>-1662</v>
      </c>
      <c r="E70" s="200">
        <f t="shared" si="9"/>
        <v>-5.927246790299572</v>
      </c>
    </row>
    <row r="71" spans="1:5" ht="12.75">
      <c r="A71" s="2" t="s">
        <v>529</v>
      </c>
      <c r="B71" s="146">
        <f>'HR'!C31</f>
        <v>3000</v>
      </c>
      <c r="C71" s="151">
        <f>'HR'!E31</f>
        <v>0</v>
      </c>
      <c r="D71" s="146">
        <f t="shared" si="8"/>
        <v>3000</v>
      </c>
      <c r="E71" s="200">
        <f t="shared" si="9"/>
        <v>0</v>
      </c>
    </row>
    <row r="72" spans="2:7" ht="12.75">
      <c r="B72" s="153">
        <f>SUM(B57:B71)</f>
        <v>1013408.25</v>
      </c>
      <c r="C72" s="123">
        <f>SUM(C57:C71)</f>
        <v>1014737.53</v>
      </c>
      <c r="D72" s="153">
        <f t="shared" si="8"/>
        <v>-1329.280000000028</v>
      </c>
      <c r="E72" s="216">
        <f t="shared" si="9"/>
        <v>-0.13099742156969674</v>
      </c>
      <c r="F72" s="155"/>
      <c r="G72" s="146"/>
    </row>
    <row r="73" spans="2:4" ht="12.75">
      <c r="B73" s="155"/>
      <c r="C73" s="170"/>
      <c r="D73" s="155"/>
    </row>
    <row r="74" ht="12.75">
      <c r="A74" s="1" t="s">
        <v>112</v>
      </c>
    </row>
    <row r="75" spans="1:5" ht="12.75">
      <c r="A75" s="2" t="s">
        <v>217</v>
      </c>
      <c r="B75" s="146">
        <f>'IT'!C28</f>
        <v>17500</v>
      </c>
      <c r="C75" s="151">
        <f>'IT'!E28</f>
        <v>1000</v>
      </c>
      <c r="D75" s="146">
        <f aca="true" t="shared" si="10" ref="D75:D90">B75-C75</f>
        <v>16500</v>
      </c>
      <c r="E75" s="200">
        <f aca="true" t="shared" si="11" ref="E75:E90">IF(C75=0,0,(D75/C75*100))</f>
        <v>1650</v>
      </c>
    </row>
    <row r="76" spans="1:5" ht="12.75">
      <c r="A76" s="2" t="s">
        <v>473</v>
      </c>
      <c r="B76" s="146">
        <f>'IT'!C29</f>
        <v>20000</v>
      </c>
      <c r="C76" s="151">
        <f>'IT'!E29</f>
        <v>25000</v>
      </c>
      <c r="D76" s="146">
        <f t="shared" si="10"/>
        <v>-5000</v>
      </c>
      <c r="E76" s="200">
        <f t="shared" si="11"/>
        <v>-20</v>
      </c>
    </row>
    <row r="77" spans="1:5" ht="12.75">
      <c r="A77" s="2" t="s">
        <v>301</v>
      </c>
      <c r="B77" s="146">
        <f>'IT'!C30+Finance!C29+'HR'!C34</f>
        <v>42400</v>
      </c>
      <c r="C77" s="151">
        <f>'IT'!E30</f>
        <v>39000</v>
      </c>
      <c r="D77" s="146">
        <f t="shared" si="10"/>
        <v>3400</v>
      </c>
      <c r="E77" s="200">
        <f t="shared" si="11"/>
        <v>8.717948717948717</v>
      </c>
    </row>
    <row r="78" spans="1:5" ht="12.75">
      <c r="A78" s="2" t="s">
        <v>302</v>
      </c>
      <c r="B78" s="146">
        <f>'IT'!C31</f>
        <v>64000</v>
      </c>
      <c r="C78" s="151">
        <f>'IT'!E31+Finance!E29+'HR'!E34</f>
        <v>58500</v>
      </c>
      <c r="D78" s="146">
        <f t="shared" si="10"/>
        <v>5500</v>
      </c>
      <c r="E78" s="200">
        <f t="shared" si="11"/>
        <v>9.401709401709402</v>
      </c>
    </row>
    <row r="79" spans="1:5" ht="12.75">
      <c r="A79" s="2" t="s">
        <v>303</v>
      </c>
      <c r="B79" s="146">
        <f>'IT'!C32</f>
        <v>136500</v>
      </c>
      <c r="C79" s="151">
        <f>'IT'!E32</f>
        <v>134000</v>
      </c>
      <c r="D79" s="146">
        <f t="shared" si="10"/>
        <v>2500</v>
      </c>
      <c r="E79" s="200">
        <f t="shared" si="11"/>
        <v>1.8656716417910446</v>
      </c>
    </row>
    <row r="80" spans="1:5" ht="12.75">
      <c r="A80" s="2" t="s">
        <v>304</v>
      </c>
      <c r="B80" s="146">
        <f>'IT'!C33</f>
        <v>235500</v>
      </c>
      <c r="C80" s="151">
        <f>'IT'!E33</f>
        <v>156000</v>
      </c>
      <c r="D80" s="146">
        <f t="shared" si="10"/>
        <v>79500</v>
      </c>
      <c r="E80" s="200">
        <f t="shared" si="11"/>
        <v>50.96153846153846</v>
      </c>
    </row>
    <row r="81" spans="1:5" ht="12.75">
      <c r="A81" s="2" t="s">
        <v>417</v>
      </c>
      <c r="B81" s="146">
        <f>'App &amp; Mon'!C43+Registration!C38+'Ops Off'!C34+'IT'!C45+Finance!C35+'Fac Man'!C53+Fitness!C50+'HR'!C37+Partners!C33+Policy!C37</f>
        <v>6940</v>
      </c>
      <c r="C81" s="151">
        <f>'App &amp; Mon'!E43+Registration!E38+'Ops Off'!E34+'IT'!E45+Finance!E35+'Fac Man'!E53+Fitness!E50+'HR'!E37+Partners!E33+Policy!E37</f>
        <v>12203</v>
      </c>
      <c r="D81" s="146">
        <f t="shared" si="10"/>
        <v>-5263</v>
      </c>
      <c r="E81" s="200">
        <f t="shared" si="11"/>
        <v>-43.12873883471278</v>
      </c>
    </row>
    <row r="82" spans="1:5" ht="12.75">
      <c r="A82" s="2" t="s">
        <v>305</v>
      </c>
      <c r="B82" s="146">
        <f>'IT'!C34</f>
        <v>10000</v>
      </c>
      <c r="C82" s="151">
        <f>'IT'!E34</f>
        <v>14000</v>
      </c>
      <c r="D82" s="146">
        <f t="shared" si="10"/>
        <v>-4000</v>
      </c>
      <c r="E82" s="200">
        <f t="shared" si="11"/>
        <v>-28.57142857142857</v>
      </c>
    </row>
    <row r="83" spans="1:5" ht="12.75">
      <c r="A83" s="2" t="s">
        <v>306</v>
      </c>
      <c r="B83" s="146">
        <f>'IT'!C35</f>
        <v>0</v>
      </c>
      <c r="C83" s="151">
        <f>'IT'!E35</f>
        <v>5000</v>
      </c>
      <c r="D83" s="146">
        <f t="shared" si="10"/>
        <v>-5000</v>
      </c>
      <c r="E83" s="200">
        <f t="shared" si="11"/>
        <v>-100</v>
      </c>
    </row>
    <row r="84" spans="1:5" ht="12.75">
      <c r="A84" s="2" t="s">
        <v>307</v>
      </c>
      <c r="B84" s="146">
        <f>'IT'!C37</f>
        <v>1150</v>
      </c>
      <c r="C84" s="151">
        <f>'IT'!E37</f>
        <v>1000</v>
      </c>
      <c r="D84" s="146">
        <f t="shared" si="10"/>
        <v>150</v>
      </c>
      <c r="E84" s="200">
        <f t="shared" si="11"/>
        <v>15</v>
      </c>
    </row>
    <row r="85" spans="1:5" ht="12.75">
      <c r="A85" s="2" t="s">
        <v>73</v>
      </c>
      <c r="B85" s="146">
        <f>'IT'!C38</f>
        <v>0</v>
      </c>
      <c r="C85" s="151">
        <f>'IT'!E38</f>
        <v>15000</v>
      </c>
      <c r="D85" s="146">
        <f t="shared" si="10"/>
        <v>-15000</v>
      </c>
      <c r="E85" s="200">
        <f t="shared" si="11"/>
        <v>-100</v>
      </c>
    </row>
    <row r="86" spans="1:5" ht="12.75">
      <c r="A86" s="2" t="s">
        <v>470</v>
      </c>
      <c r="B86" s="146">
        <f>'IT'!C36</f>
        <v>23000</v>
      </c>
      <c r="C86" s="151">
        <f>'IT'!E36</f>
        <v>10000</v>
      </c>
      <c r="D86" s="146">
        <f t="shared" si="10"/>
        <v>13000</v>
      </c>
      <c r="E86" s="200">
        <f t="shared" si="11"/>
        <v>130</v>
      </c>
    </row>
    <row r="87" spans="1:5" ht="12" customHeight="1">
      <c r="A87" s="149" t="s">
        <v>194</v>
      </c>
      <c r="B87" s="146">
        <f>'IT'!C39</f>
        <v>1500</v>
      </c>
      <c r="C87" s="151">
        <f>'IT'!E39</f>
        <v>1000</v>
      </c>
      <c r="D87" s="146">
        <f t="shared" si="10"/>
        <v>500</v>
      </c>
      <c r="E87" s="200">
        <f t="shared" si="11"/>
        <v>50</v>
      </c>
    </row>
    <row r="88" spans="1:5" ht="12" customHeight="1">
      <c r="A88" s="149" t="s">
        <v>576</v>
      </c>
      <c r="B88" s="146">
        <f>Dep!C18</f>
        <v>68967.075875</v>
      </c>
      <c r="C88" s="151">
        <f>Dep!E18</f>
        <v>63572.02</v>
      </c>
      <c r="D88" s="146">
        <f t="shared" si="10"/>
        <v>5395.055874999998</v>
      </c>
      <c r="E88" s="200">
        <f t="shared" si="11"/>
        <v>8.486525793894858</v>
      </c>
    </row>
    <row r="89" spans="1:5" ht="12" customHeight="1">
      <c r="A89" s="149" t="s">
        <v>577</v>
      </c>
      <c r="B89" s="146">
        <f>Dep!C19</f>
        <v>315258.80672499986</v>
      </c>
      <c r="C89" s="151">
        <f>Dep!E19</f>
        <v>176058</v>
      </c>
      <c r="D89" s="146">
        <f t="shared" si="10"/>
        <v>139200.80672499986</v>
      </c>
      <c r="E89" s="200">
        <f t="shared" si="11"/>
        <v>79.06531184325611</v>
      </c>
    </row>
    <row r="90" spans="2:9" ht="12.75">
      <c r="B90" s="153">
        <f>SUM(B75:B89)</f>
        <v>942715.8825999999</v>
      </c>
      <c r="C90" s="123">
        <f>SUM(C75:C89)</f>
        <v>711333.02</v>
      </c>
      <c r="D90" s="153">
        <f t="shared" si="10"/>
        <v>231382.86259999988</v>
      </c>
      <c r="E90" s="216">
        <f t="shared" si="11"/>
        <v>32.52806436568906</v>
      </c>
      <c r="G90" s="146"/>
      <c r="I90" s="146"/>
    </row>
    <row r="91" spans="2:4" ht="12.75">
      <c r="B91" s="155"/>
      <c r="C91" s="124"/>
      <c r="D91" s="155"/>
    </row>
    <row r="92" spans="1:4" ht="12" customHeight="1">
      <c r="A92" s="161" t="s">
        <v>132</v>
      </c>
      <c r="B92" s="155"/>
      <c r="C92" s="170"/>
      <c r="D92" s="155"/>
    </row>
    <row r="93" spans="1:5" ht="12.75">
      <c r="A93" s="145" t="s">
        <v>308</v>
      </c>
      <c r="B93" s="148">
        <f>Communications!C28</f>
        <v>210000</v>
      </c>
      <c r="C93" s="151">
        <f>Communications!E28</f>
        <v>160483</v>
      </c>
      <c r="D93" s="146">
        <f aca="true" t="shared" si="12" ref="D93:D108">B93-C93</f>
        <v>49517</v>
      </c>
      <c r="E93" s="200">
        <f aca="true" t="shared" si="13" ref="E93:E108">IF(C93=0,0,(D93/C93*100))</f>
        <v>30.854981524522845</v>
      </c>
    </row>
    <row r="94" spans="1:5" ht="12.75">
      <c r="A94" s="278" t="s">
        <v>172</v>
      </c>
      <c r="B94" s="148">
        <f>Communications!C29+Fitness!C43</f>
        <v>12088</v>
      </c>
      <c r="C94" s="151">
        <f>Communications!E29+Fitness!E43</f>
        <v>10252</v>
      </c>
      <c r="D94" s="146">
        <f t="shared" si="12"/>
        <v>1836</v>
      </c>
      <c r="E94" s="200">
        <f t="shared" si="13"/>
        <v>17.908700741318768</v>
      </c>
    </row>
    <row r="95" spans="1:5" ht="12.75">
      <c r="A95" s="171" t="s">
        <v>450</v>
      </c>
      <c r="B95" s="148">
        <f>Communications!C30+Fitness!C44</f>
        <v>64400</v>
      </c>
      <c r="C95" s="151">
        <f>Communications!E30+Fitness!E44</f>
        <v>40000</v>
      </c>
      <c r="D95" s="146">
        <f t="shared" si="12"/>
        <v>24400</v>
      </c>
      <c r="E95" s="200">
        <f t="shared" si="13"/>
        <v>61</v>
      </c>
    </row>
    <row r="96" spans="1:5" ht="12.75" customHeight="1">
      <c r="A96" s="278" t="s">
        <v>174</v>
      </c>
      <c r="B96" s="148">
        <f>Communications!C31</f>
        <v>36000</v>
      </c>
      <c r="C96" s="151">
        <f>Communications!E31</f>
        <v>35000</v>
      </c>
      <c r="D96" s="146">
        <f t="shared" si="12"/>
        <v>1000</v>
      </c>
      <c r="E96" s="200">
        <f t="shared" si="13"/>
        <v>2.857142857142857</v>
      </c>
    </row>
    <row r="97" spans="1:5" ht="12.75">
      <c r="A97" s="278" t="s">
        <v>175</v>
      </c>
      <c r="B97" s="148">
        <f>Communications!C32+Policy!C34</f>
        <v>100000</v>
      </c>
      <c r="C97" s="151">
        <f>Communications!E32+Policy!E34</f>
        <v>35000</v>
      </c>
      <c r="D97" s="146">
        <f t="shared" si="12"/>
        <v>65000</v>
      </c>
      <c r="E97" s="200">
        <f t="shared" si="13"/>
        <v>185.71428571428572</v>
      </c>
    </row>
    <row r="98" spans="1:5" ht="12.75" customHeight="1">
      <c r="A98" s="278" t="s">
        <v>176</v>
      </c>
      <c r="B98" s="146">
        <f>Communications!C33</f>
        <v>20000</v>
      </c>
      <c r="C98" s="151">
        <f>Communications!E33</f>
        <v>20000</v>
      </c>
      <c r="D98" s="146">
        <f t="shared" si="12"/>
        <v>0</v>
      </c>
      <c r="E98" s="200">
        <f t="shared" si="13"/>
        <v>0</v>
      </c>
    </row>
    <row r="99" spans="1:5" ht="12.75">
      <c r="A99" s="171" t="s">
        <v>286</v>
      </c>
      <c r="B99" s="146">
        <f>Communications!C34</f>
        <v>71350</v>
      </c>
      <c r="C99" s="151">
        <f>Communications!E34</f>
        <v>65000</v>
      </c>
      <c r="D99" s="146">
        <f t="shared" si="12"/>
        <v>6350</v>
      </c>
      <c r="E99" s="200">
        <f t="shared" si="13"/>
        <v>9.769230769230768</v>
      </c>
    </row>
    <row r="100" spans="1:5" ht="12.75">
      <c r="A100" s="278" t="s">
        <v>182</v>
      </c>
      <c r="B100" s="146">
        <f>Policy!C32</f>
        <v>26400</v>
      </c>
      <c r="C100" s="151">
        <f>Policy!E32</f>
        <v>0</v>
      </c>
      <c r="D100" s="146">
        <f t="shared" si="12"/>
        <v>26400</v>
      </c>
      <c r="E100" s="200">
        <f t="shared" si="13"/>
        <v>0</v>
      </c>
    </row>
    <row r="101" spans="1:5" ht="12.75">
      <c r="A101" s="278" t="s">
        <v>427</v>
      </c>
      <c r="B101" s="146">
        <f>Communications!C35</f>
        <v>42000</v>
      </c>
      <c r="C101" s="151">
        <f>Communications!E35</f>
        <v>27000</v>
      </c>
      <c r="D101" s="146">
        <f t="shared" si="12"/>
        <v>15000</v>
      </c>
      <c r="E101" s="200">
        <f t="shared" si="13"/>
        <v>55.55555555555556</v>
      </c>
    </row>
    <row r="102" spans="1:5" ht="12.75">
      <c r="A102" s="278" t="s">
        <v>207</v>
      </c>
      <c r="B102" s="146">
        <f>Communications!C36</f>
        <v>12500</v>
      </c>
      <c r="C102" s="151">
        <f>Communications!E36</f>
        <v>15000</v>
      </c>
      <c r="D102" s="146">
        <f t="shared" si="12"/>
        <v>-2500</v>
      </c>
      <c r="E102" s="200">
        <f t="shared" si="13"/>
        <v>-16.666666666666664</v>
      </c>
    </row>
    <row r="103" spans="1:5" ht="12.75">
      <c r="A103" s="278" t="s">
        <v>428</v>
      </c>
      <c r="B103" s="146">
        <f>Communications!C37</f>
        <v>43000</v>
      </c>
      <c r="C103" s="151">
        <f>Communications!E37</f>
        <v>35000</v>
      </c>
      <c r="D103" s="146">
        <f t="shared" si="12"/>
        <v>8000</v>
      </c>
      <c r="E103" s="200">
        <f t="shared" si="13"/>
        <v>22.857142857142858</v>
      </c>
    </row>
    <row r="104" spans="1:5" ht="12.75">
      <c r="A104" s="278" t="s">
        <v>208</v>
      </c>
      <c r="B104" s="146">
        <f>Policy!C33</f>
        <v>5600</v>
      </c>
      <c r="C104" s="151">
        <f>Policy!E33</f>
        <v>10000</v>
      </c>
      <c r="D104" s="146">
        <f t="shared" si="12"/>
        <v>-4400</v>
      </c>
      <c r="E104" s="200">
        <f t="shared" si="13"/>
        <v>-44</v>
      </c>
    </row>
    <row r="105" spans="1:5" ht="14.25" customHeight="1">
      <c r="A105" s="278" t="s">
        <v>285</v>
      </c>
      <c r="B105" s="146">
        <f>Communications!C38</f>
        <v>30000</v>
      </c>
      <c r="C105" s="151">
        <f>Communications!E38</f>
        <v>15000</v>
      </c>
      <c r="D105" s="146">
        <f t="shared" si="12"/>
        <v>15000</v>
      </c>
      <c r="E105" s="200">
        <f t="shared" si="13"/>
        <v>100</v>
      </c>
    </row>
    <row r="106" spans="1:5" ht="12.75">
      <c r="A106" s="278" t="s">
        <v>311</v>
      </c>
      <c r="B106" s="146">
        <f>Communications!C39</f>
        <v>45600</v>
      </c>
      <c r="C106" s="151">
        <f>Communications!E39</f>
        <v>45000</v>
      </c>
      <c r="D106" s="146">
        <f t="shared" si="12"/>
        <v>600</v>
      </c>
      <c r="E106" s="200">
        <f t="shared" si="13"/>
        <v>1.3333333333333335</v>
      </c>
    </row>
    <row r="107" spans="1:5" ht="12.75">
      <c r="A107" s="278" t="s">
        <v>579</v>
      </c>
      <c r="B107" s="146">
        <v>0</v>
      </c>
      <c r="C107" s="151">
        <f>Communications!E40</f>
        <v>30000</v>
      </c>
      <c r="D107" s="146">
        <f t="shared" si="12"/>
        <v>-30000</v>
      </c>
      <c r="E107" s="200">
        <f t="shared" si="13"/>
        <v>-100</v>
      </c>
    </row>
    <row r="108" spans="2:7" ht="12.75">
      <c r="B108" s="153">
        <f>SUM(B93:B106)</f>
        <v>718938</v>
      </c>
      <c r="C108" s="123">
        <f>SUM(C93:C107)</f>
        <v>542735</v>
      </c>
      <c r="D108" s="153">
        <f t="shared" si="12"/>
        <v>176203</v>
      </c>
      <c r="E108" s="216">
        <f t="shared" si="13"/>
        <v>32.46575216265765</v>
      </c>
      <c r="G108" s="146"/>
    </row>
    <row r="109" spans="2:4" ht="12.75">
      <c r="B109" s="155"/>
      <c r="C109" s="170"/>
      <c r="D109" s="155"/>
    </row>
    <row r="110" spans="1:4" ht="12.75">
      <c r="A110" s="161" t="s">
        <v>168</v>
      </c>
      <c r="B110" s="155"/>
      <c r="C110" s="170"/>
      <c r="D110" s="155"/>
    </row>
    <row r="111" spans="1:5" ht="12.75">
      <c r="A111" s="177" t="s">
        <v>183</v>
      </c>
      <c r="B111" s="146">
        <f>Partners!C29</f>
        <v>53170</v>
      </c>
      <c r="C111" s="151">
        <f>Partners!E29</f>
        <v>40628</v>
      </c>
      <c r="D111" s="146">
        <f aca="true" t="shared" si="14" ref="D111:D124">B111-C111</f>
        <v>12542</v>
      </c>
      <c r="E111" s="200">
        <f aca="true" t="shared" si="15" ref="E111:E121">IF(C111=0,0,(D111/C111*100))</f>
        <v>30.870335729053856</v>
      </c>
    </row>
    <row r="112" spans="1:5" ht="12.75">
      <c r="A112" s="137" t="s">
        <v>170</v>
      </c>
      <c r="B112" s="146">
        <f>Partners!C30</f>
        <v>246182</v>
      </c>
      <c r="C112" s="151">
        <f>Partners!E30</f>
        <v>163565</v>
      </c>
      <c r="D112" s="146">
        <f t="shared" si="14"/>
        <v>82617</v>
      </c>
      <c r="E112" s="200">
        <f t="shared" si="15"/>
        <v>50.51019472381011</v>
      </c>
    </row>
    <row r="113" spans="1:5" ht="12.75">
      <c r="A113" s="137" t="s">
        <v>558</v>
      </c>
      <c r="B113" s="183">
        <f>Registration!C29</f>
        <v>48528</v>
      </c>
      <c r="C113" s="293">
        <f>Registration!E29</f>
        <v>0</v>
      </c>
      <c r="D113" s="146">
        <f t="shared" si="14"/>
        <v>48528</v>
      </c>
      <c r="E113" s="200">
        <f t="shared" si="15"/>
        <v>0</v>
      </c>
    </row>
    <row r="114" spans="1:5" ht="12.75">
      <c r="A114" s="137" t="s">
        <v>419</v>
      </c>
      <c r="B114" s="183">
        <f>Registration!C30</f>
        <v>153200</v>
      </c>
      <c r="C114" s="293">
        <f>Registration!E30</f>
        <v>62200</v>
      </c>
      <c r="D114" s="146">
        <f t="shared" si="14"/>
        <v>91000</v>
      </c>
      <c r="E114" s="200">
        <f t="shared" si="15"/>
        <v>146.30225080385853</v>
      </c>
    </row>
    <row r="115" spans="1:5" ht="12.75">
      <c r="A115" s="177" t="s">
        <v>184</v>
      </c>
      <c r="B115" s="146">
        <f>Fitness!C38</f>
        <v>1100000</v>
      </c>
      <c r="C115" s="151">
        <f>Fitness!E38</f>
        <v>824004</v>
      </c>
      <c r="D115" s="146">
        <f t="shared" si="14"/>
        <v>275996</v>
      </c>
      <c r="E115" s="200">
        <f t="shared" si="15"/>
        <v>33.49449759952622</v>
      </c>
    </row>
    <row r="116" spans="1:5" ht="12.75">
      <c r="A116" s="137" t="s">
        <v>210</v>
      </c>
      <c r="B116" s="146">
        <f>'App &amp; Mon'!C34</f>
        <v>127789.75</v>
      </c>
      <c r="C116" s="151">
        <f>'App &amp; Mon'!E34</f>
        <v>65310</v>
      </c>
      <c r="D116" s="146">
        <f t="shared" si="14"/>
        <v>62479.75</v>
      </c>
      <c r="E116" s="200">
        <f t="shared" si="15"/>
        <v>95.66643699280355</v>
      </c>
    </row>
    <row r="117" spans="1:5" ht="12.75">
      <c r="A117" s="137" t="s">
        <v>203</v>
      </c>
      <c r="B117" s="146">
        <f>Registration!C28</f>
        <v>322416</v>
      </c>
      <c r="C117" s="151">
        <f>Registration!E28</f>
        <v>238000</v>
      </c>
      <c r="D117" s="146">
        <f t="shared" si="14"/>
        <v>84416</v>
      </c>
      <c r="E117" s="200">
        <f t="shared" si="15"/>
        <v>35.46890756302521</v>
      </c>
    </row>
    <row r="118" spans="1:5" ht="12.75">
      <c r="A118" s="137" t="s">
        <v>464</v>
      </c>
      <c r="B118" s="146">
        <f>Registration!C32</f>
        <v>632</v>
      </c>
      <c r="C118" s="151">
        <f>Registration!E32</f>
        <v>5792</v>
      </c>
      <c r="D118" s="146">
        <f t="shared" si="14"/>
        <v>-5160</v>
      </c>
      <c r="E118" s="200">
        <f t="shared" si="15"/>
        <v>-89.08839779005525</v>
      </c>
    </row>
    <row r="119" spans="1:5" ht="12.75">
      <c r="A119" s="137" t="s">
        <v>204</v>
      </c>
      <c r="B119" s="146">
        <f>Registration!C31</f>
        <v>9480</v>
      </c>
      <c r="C119" s="151">
        <f>Registration!E31</f>
        <v>15928</v>
      </c>
      <c r="D119" s="146">
        <f t="shared" si="14"/>
        <v>-6448</v>
      </c>
      <c r="E119" s="200">
        <f t="shared" si="15"/>
        <v>-40.48216976393772</v>
      </c>
    </row>
    <row r="120" spans="1:5" ht="12.75">
      <c r="A120" s="137" t="s">
        <v>212</v>
      </c>
      <c r="B120" s="146">
        <f>Fitness!C39</f>
        <v>28000</v>
      </c>
      <c r="C120" s="151">
        <f>Fitness!E39</f>
        <v>19830</v>
      </c>
      <c r="D120" s="146">
        <f t="shared" si="14"/>
        <v>8170</v>
      </c>
      <c r="E120" s="200">
        <f t="shared" si="15"/>
        <v>41.20020171457387</v>
      </c>
    </row>
    <row r="121" spans="1:5" ht="12.75">
      <c r="A121" s="137" t="s">
        <v>563</v>
      </c>
      <c r="B121" s="146">
        <f>Fitness!C40</f>
        <v>67000</v>
      </c>
      <c r="C121" s="151">
        <f>Fitness!E40</f>
        <v>41077</v>
      </c>
      <c r="D121" s="146">
        <f t="shared" si="14"/>
        <v>25923</v>
      </c>
      <c r="E121" s="200">
        <f t="shared" si="15"/>
        <v>63.108308785938604</v>
      </c>
    </row>
    <row r="122" spans="1:5" ht="12.75">
      <c r="A122" s="137" t="s">
        <v>242</v>
      </c>
      <c r="B122" s="146">
        <f>'App &amp; Mon'!C35</f>
        <v>23124</v>
      </c>
      <c r="C122" s="151">
        <f>'App &amp; Mon'!E35</f>
        <v>14110</v>
      </c>
      <c r="D122" s="146">
        <f t="shared" si="14"/>
        <v>9014</v>
      </c>
      <c r="E122" s="200">
        <f>IF(C122=0,0,(D122/C122*100))</f>
        <v>63.88377037562013</v>
      </c>
    </row>
    <row r="123" spans="1:5" ht="12.75">
      <c r="A123" s="137" t="s">
        <v>243</v>
      </c>
      <c r="B123" s="146">
        <f>'App &amp; Mon'!C36</f>
        <v>10800</v>
      </c>
      <c r="C123" s="151">
        <f>'App &amp; Mon'!E36</f>
        <v>11200</v>
      </c>
      <c r="D123" s="146">
        <f t="shared" si="14"/>
        <v>-400</v>
      </c>
      <c r="E123" s="200">
        <f>IF(C123=0,0,(D123/C123*100))</f>
        <v>-3.571428571428571</v>
      </c>
    </row>
    <row r="124" spans="2:7" ht="12.75">
      <c r="B124" s="153">
        <f>SUM(B111:B123)</f>
        <v>2190321.75</v>
      </c>
      <c r="C124" s="123">
        <f>SUM(C111:C123)</f>
        <v>1501644</v>
      </c>
      <c r="D124" s="153">
        <f t="shared" si="14"/>
        <v>688677.75</v>
      </c>
      <c r="E124" s="216">
        <f>IF(C124=0,0,(D124/C124*100))</f>
        <v>45.86158570207053</v>
      </c>
      <c r="G124" s="146"/>
    </row>
    <row r="125" spans="2:4" ht="12.75">
      <c r="B125" s="155"/>
      <c r="C125" s="170"/>
      <c r="D125" s="155"/>
    </row>
    <row r="126" spans="1:4" ht="12.75">
      <c r="A126" s="1" t="s">
        <v>269</v>
      </c>
      <c r="B126" s="155"/>
      <c r="C126" s="170"/>
      <c r="D126" s="155"/>
    </row>
    <row r="127" spans="1:8" ht="12.75">
      <c r="A127" s="2" t="s">
        <v>425</v>
      </c>
      <c r="B127" s="155">
        <f>Major!S37</f>
        <v>420196.96125</v>
      </c>
      <c r="C127" s="150">
        <f>Major!U37</f>
        <v>146795</v>
      </c>
      <c r="D127" s="146">
        <f>B127-C127</f>
        <v>273401.96125</v>
      </c>
      <c r="E127" s="200">
        <f>IF(C127=0,0,(D127/C127*100))</f>
        <v>186.24746159610342</v>
      </c>
      <c r="H127" s="146"/>
    </row>
    <row r="128" spans="1:9" ht="12.75">
      <c r="A128" s="2" t="s">
        <v>561</v>
      </c>
      <c r="B128" s="155">
        <f>Secretariat!C28+'App &amp; Mon'!C39+Registration!C35+'Ops Off'!C29+'IT'!C42+Finance!C32+Fitness!C47</f>
        <v>150600</v>
      </c>
      <c r="C128" s="150">
        <f>Secretariat!E28+'App &amp; Mon'!E39+Registration!E35+'Ops Off'!E29+'IT'!E42+Finance!E32+Fitness!E47</f>
        <v>118607.93000000001</v>
      </c>
      <c r="D128" s="146">
        <f>B128-C128</f>
        <v>31992.069999999992</v>
      </c>
      <c r="E128" s="200">
        <f>IF(C128=0,0,(D128/C128*100))</f>
        <v>26.97296040829647</v>
      </c>
      <c r="I128" s="146"/>
    </row>
    <row r="129" spans="2:7" ht="12.75">
      <c r="B129" s="166">
        <f>SUM(B127:B128)</f>
        <v>570796.9612499999</v>
      </c>
      <c r="C129" s="123">
        <f>SUM(C127:C128)</f>
        <v>265402.93</v>
      </c>
      <c r="D129" s="166">
        <f>SUM(D127:D128)</f>
        <v>305394.03125</v>
      </c>
      <c r="E129" s="216">
        <f>IF(C129=0,0,(D129/C129*100))</f>
        <v>115.06807074435841</v>
      </c>
      <c r="G129" s="146"/>
    </row>
    <row r="130" spans="2:4" ht="12.75">
      <c r="B130" s="155"/>
      <c r="C130" s="170"/>
      <c r="D130" s="155"/>
    </row>
    <row r="131" ht="12.75">
      <c r="A131" s="161" t="s">
        <v>77</v>
      </c>
    </row>
    <row r="132" spans="1:5" ht="12.75">
      <c r="A132" s="2" t="s">
        <v>87</v>
      </c>
      <c r="B132" s="148">
        <f>'App &amp; Mon'!C42+'Ops Off'!C33</f>
        <v>20000</v>
      </c>
      <c r="C132" s="151">
        <f>'App &amp; Mon'!E42+'Ops Off'!E33</f>
        <v>24400</v>
      </c>
      <c r="D132" s="146">
        <f aca="true" t="shared" si="16" ref="D132:D159">B132-C132</f>
        <v>-4400</v>
      </c>
      <c r="E132" s="200">
        <f aca="true" t="shared" si="17" ref="E132:E159">IF(C132=0,0,(D132/C132*100))</f>
        <v>-18.0327868852459</v>
      </c>
    </row>
    <row r="133" spans="1:5" ht="12.75">
      <c r="A133" s="2" t="s">
        <v>442</v>
      </c>
      <c r="B133" s="148">
        <f>Council!C41</f>
        <v>1500</v>
      </c>
      <c r="C133" s="151">
        <f>Council!E41</f>
        <v>0</v>
      </c>
      <c r="D133" s="146">
        <f t="shared" si="16"/>
        <v>1500</v>
      </c>
      <c r="E133" s="200">
        <f t="shared" si="17"/>
        <v>0</v>
      </c>
    </row>
    <row r="134" spans="1:5" ht="12.75">
      <c r="A134" s="2" t="s">
        <v>78</v>
      </c>
      <c r="B134" s="148">
        <f>Finance!C38</f>
        <v>70000</v>
      </c>
      <c r="C134" s="151">
        <f>Finance!E38</f>
        <v>67202</v>
      </c>
      <c r="D134" s="146">
        <f t="shared" si="16"/>
        <v>2798</v>
      </c>
      <c r="E134" s="200">
        <f t="shared" si="17"/>
        <v>4.163566560519032</v>
      </c>
    </row>
    <row r="135" spans="1:5" ht="12.75">
      <c r="A135" s="2" t="s">
        <v>79</v>
      </c>
      <c r="B135" s="148">
        <f>'Fac Man'!C54</f>
        <v>500</v>
      </c>
      <c r="C135" s="151">
        <f>'Fac Man'!E54</f>
        <v>500</v>
      </c>
      <c r="D135" s="146">
        <f t="shared" si="16"/>
        <v>0</v>
      </c>
      <c r="E135" s="200">
        <f t="shared" si="17"/>
        <v>0</v>
      </c>
    </row>
    <row r="136" spans="1:5" ht="12.75">
      <c r="A136" s="2" t="s">
        <v>451</v>
      </c>
      <c r="B136" s="148">
        <f>Fitness!C51</f>
        <v>3000</v>
      </c>
      <c r="C136" s="151">
        <f>Fitness!E51</f>
        <v>1197</v>
      </c>
      <c r="D136" s="146">
        <f t="shared" si="16"/>
        <v>1803</v>
      </c>
      <c r="E136" s="200">
        <f t="shared" si="17"/>
        <v>150.6265664160401</v>
      </c>
    </row>
    <row r="137" spans="1:5" ht="12.75">
      <c r="A137" s="2" t="s">
        <v>72</v>
      </c>
      <c r="B137" s="146">
        <f>'Ops Off'!C32</f>
        <v>17000</v>
      </c>
      <c r="C137" s="151">
        <f>'Ops Off'!E32</f>
        <v>16000</v>
      </c>
      <c r="D137" s="146">
        <f t="shared" si="16"/>
        <v>1000</v>
      </c>
      <c r="E137" s="200">
        <f t="shared" si="17"/>
        <v>6.25</v>
      </c>
    </row>
    <row r="138" spans="1:5" ht="12.75">
      <c r="A138" s="2" t="s">
        <v>443</v>
      </c>
      <c r="B138" s="146">
        <f>'Chief Exec'!C32</f>
        <v>7500</v>
      </c>
      <c r="C138" s="151">
        <f>'Chief Exec'!E32</f>
        <v>7500</v>
      </c>
      <c r="D138" s="146">
        <f t="shared" si="16"/>
        <v>0</v>
      </c>
      <c r="E138" s="200">
        <f t="shared" si="17"/>
        <v>0</v>
      </c>
    </row>
    <row r="139" spans="1:5" ht="12.75">
      <c r="A139" s="149" t="s">
        <v>513</v>
      </c>
      <c r="B139" s="148">
        <f>Council!C39</f>
        <v>33000</v>
      </c>
      <c r="C139" s="151">
        <f>Council!E39</f>
        <v>64449</v>
      </c>
      <c r="D139" s="146">
        <f t="shared" si="16"/>
        <v>-31449</v>
      </c>
      <c r="E139" s="200">
        <f t="shared" si="17"/>
        <v>-48.79672299027138</v>
      </c>
    </row>
    <row r="140" spans="1:5" ht="12.75">
      <c r="A140" s="2" t="s">
        <v>562</v>
      </c>
      <c r="B140" s="148">
        <f>Finance!C37</f>
        <v>62925</v>
      </c>
      <c r="C140" s="151">
        <f>Finance!E37</f>
        <v>53760</v>
      </c>
      <c r="D140" s="146">
        <f t="shared" si="16"/>
        <v>9165</v>
      </c>
      <c r="E140" s="200">
        <f t="shared" si="17"/>
        <v>17.047991071428573</v>
      </c>
    </row>
    <row r="141" spans="1:5" ht="12.75">
      <c r="A141" s="2" t="s">
        <v>80</v>
      </c>
      <c r="B141" s="148">
        <f>'Fac Man'!C55+'22-26 Stannary St'!C30</f>
        <v>50000</v>
      </c>
      <c r="C141" s="151">
        <f>'Fac Man'!E55+'22-26 Stannary St'!E30</f>
        <v>45200</v>
      </c>
      <c r="D141" s="146">
        <f t="shared" si="16"/>
        <v>4800</v>
      </c>
      <c r="E141" s="200">
        <f t="shared" si="17"/>
        <v>10.619469026548673</v>
      </c>
    </row>
    <row r="142" spans="1:5" ht="12.75">
      <c r="A142" s="2" t="s">
        <v>85</v>
      </c>
      <c r="B142" s="148">
        <f>'Fac Man'!C56</f>
        <v>17820</v>
      </c>
      <c r="C142" s="151">
        <f>'Fac Man'!E56</f>
        <v>14770</v>
      </c>
      <c r="D142" s="146">
        <f t="shared" si="16"/>
        <v>3050</v>
      </c>
      <c r="E142" s="200">
        <f t="shared" si="17"/>
        <v>20.64996614759648</v>
      </c>
    </row>
    <row r="143" spans="1:6" ht="12.75">
      <c r="A143" s="2" t="s">
        <v>32</v>
      </c>
      <c r="B143" s="148">
        <f>0</f>
        <v>0</v>
      </c>
      <c r="C143" s="151">
        <f>Finance!E45</f>
        <v>512</v>
      </c>
      <c r="D143" s="146">
        <f t="shared" si="16"/>
        <v>-512</v>
      </c>
      <c r="E143" s="200">
        <f t="shared" si="17"/>
        <v>-100</v>
      </c>
      <c r="F143" s="148"/>
    </row>
    <row r="144" spans="1:5" ht="12.75" customHeight="1">
      <c r="A144" s="149" t="s">
        <v>262</v>
      </c>
      <c r="B144" s="148">
        <f>Finance!C36</f>
        <v>31584</v>
      </c>
      <c r="C144" s="151">
        <f>Finance!E36</f>
        <v>28620</v>
      </c>
      <c r="D144" s="146">
        <f t="shared" si="16"/>
        <v>2964</v>
      </c>
      <c r="E144" s="200">
        <f t="shared" si="17"/>
        <v>10.356394129979035</v>
      </c>
    </row>
    <row r="145" spans="1:5" ht="12.75">
      <c r="A145" s="2" t="s">
        <v>219</v>
      </c>
      <c r="B145" s="148">
        <f>'Chief Exec'!C29+Secretariat!C32+'App &amp; Mon'!C45+Registration!C41+'Ops Off'!C36+'IT'!C47+Finance!C40+Fitness!C55+Partners!C35+Policy!C38+'22-26 Stannary St'!C29</f>
        <v>282000</v>
      </c>
      <c r="C145" s="151">
        <f>'Chief Exec'!E29+Secretariat!E32+'App &amp; Mon'!E45+Registration!E41+'Ops Off'!E36+'IT'!E47+Finance!E40+'22-26 Stannary St'!E29+Fitness!E55+Partners!E35+Policy!E38</f>
        <v>338747</v>
      </c>
      <c r="D145" s="146">
        <f t="shared" si="16"/>
        <v>-56747</v>
      </c>
      <c r="E145" s="200">
        <f t="shared" si="17"/>
        <v>-16.752030276282888</v>
      </c>
    </row>
    <row r="146" spans="1:7" ht="12.75">
      <c r="A146" s="2" t="s">
        <v>81</v>
      </c>
      <c r="B146" s="148">
        <f>Fitness!C54+'HR'!C39</f>
        <v>2298950</v>
      </c>
      <c r="C146" s="151">
        <f>Fitness!E54+'HR'!E39+Partners!E34</f>
        <v>1842636</v>
      </c>
      <c r="D146" s="146">
        <f t="shared" si="16"/>
        <v>456314</v>
      </c>
      <c r="E146" s="200">
        <f t="shared" si="17"/>
        <v>24.764196509782725</v>
      </c>
      <c r="G146" s="146" t="s">
        <v>598</v>
      </c>
    </row>
    <row r="147" spans="1:5" ht="12.75">
      <c r="A147" s="2" t="s">
        <v>139</v>
      </c>
      <c r="B147" s="148">
        <f>Fitness!C53</f>
        <v>33000</v>
      </c>
      <c r="C147" s="151">
        <f>Fitness!E53</f>
        <v>31500</v>
      </c>
      <c r="D147" s="146">
        <f t="shared" si="16"/>
        <v>1500</v>
      </c>
      <c r="E147" s="200">
        <f t="shared" si="17"/>
        <v>4.761904761904762</v>
      </c>
    </row>
    <row r="148" spans="1:7" ht="12" customHeight="1">
      <c r="A148" s="149" t="s">
        <v>216</v>
      </c>
      <c r="B148" s="148">
        <f>Fitness!C58</f>
        <v>318793</v>
      </c>
      <c r="C148" s="151">
        <f>Fitness!E58</f>
        <v>227367</v>
      </c>
      <c r="D148" s="146">
        <f t="shared" si="16"/>
        <v>91426</v>
      </c>
      <c r="E148" s="200">
        <f t="shared" si="17"/>
        <v>40.21076057651286</v>
      </c>
      <c r="G148" s="337"/>
    </row>
    <row r="149" spans="1:9" ht="12.75">
      <c r="A149" s="149" t="s">
        <v>84</v>
      </c>
      <c r="B149" s="148">
        <f>Council!C42+'Chief Exec'!C30+Finance!C39+Fitness!C52+'HR'!C38+President!C18</f>
        <v>63700</v>
      </c>
      <c r="C149" s="151">
        <f>President!E18+Council!E42+'Chief Exec'!E30+Registration!E40+Finance!E39+Fitness!E52+'HR'!E38+Partners!E38</f>
        <v>69626</v>
      </c>
      <c r="D149" s="146">
        <f t="shared" si="16"/>
        <v>-5926</v>
      </c>
      <c r="E149" s="200">
        <f t="shared" si="17"/>
        <v>-8.511188349179905</v>
      </c>
      <c r="I149" s="146"/>
    </row>
    <row r="150" spans="1:5" ht="12.75">
      <c r="A150" s="149" t="s">
        <v>441</v>
      </c>
      <c r="B150" s="148">
        <f>Fitness!C56</f>
        <v>80000</v>
      </c>
      <c r="C150" s="151">
        <f>Fitness!E56</f>
        <v>62855</v>
      </c>
      <c r="D150" s="146">
        <f t="shared" si="16"/>
        <v>17145</v>
      </c>
      <c r="E150" s="200">
        <f t="shared" si="17"/>
        <v>27.277066263622622</v>
      </c>
    </row>
    <row r="151" spans="1:5" ht="12.75">
      <c r="A151" s="2" t="s">
        <v>86</v>
      </c>
      <c r="B151" s="148">
        <f>Finance!C41</f>
        <v>27400</v>
      </c>
      <c r="C151" s="151">
        <f>Finance!E41</f>
        <v>25200</v>
      </c>
      <c r="D151" s="146">
        <f t="shared" si="16"/>
        <v>2200</v>
      </c>
      <c r="E151" s="200">
        <f t="shared" si="17"/>
        <v>8.73015873015873</v>
      </c>
    </row>
    <row r="152" spans="1:5" ht="12.75">
      <c r="A152" s="2" t="s">
        <v>31</v>
      </c>
      <c r="B152" s="148">
        <f>'HR'!C43</f>
        <v>7500</v>
      </c>
      <c r="C152" s="151">
        <f>'HR'!E43</f>
        <v>7000</v>
      </c>
      <c r="D152" s="146">
        <f t="shared" si="16"/>
        <v>500</v>
      </c>
      <c r="E152" s="200">
        <f t="shared" si="17"/>
        <v>7.142857142857142</v>
      </c>
    </row>
    <row r="153" spans="1:5" ht="12.75">
      <c r="A153" s="149" t="s">
        <v>178</v>
      </c>
      <c r="B153" s="148">
        <f>Council!C40</f>
        <v>43600</v>
      </c>
      <c r="C153" s="151">
        <f>Council!E40</f>
        <v>27440</v>
      </c>
      <c r="D153" s="146">
        <f t="shared" si="16"/>
        <v>16160</v>
      </c>
      <c r="E153" s="200">
        <f t="shared" si="17"/>
        <v>58.89212827988338</v>
      </c>
    </row>
    <row r="154" spans="1:5" ht="12.75">
      <c r="A154" s="149" t="s">
        <v>260</v>
      </c>
      <c r="B154" s="148">
        <f>'Ops Off'!C37</f>
        <v>15640</v>
      </c>
      <c r="C154" s="151">
        <f>'Ops Off'!E37</f>
        <v>6200</v>
      </c>
      <c r="D154" s="146">
        <f t="shared" si="16"/>
        <v>9440</v>
      </c>
      <c r="E154" s="200">
        <f t="shared" si="17"/>
        <v>152.25806451612902</v>
      </c>
    </row>
    <row r="155" spans="1:5" ht="12.75">
      <c r="A155" s="149" t="s">
        <v>171</v>
      </c>
      <c r="B155" s="148">
        <f>'HR'!C44</f>
        <v>10000</v>
      </c>
      <c r="C155" s="151">
        <f>'HR'!E44</f>
        <v>9000</v>
      </c>
      <c r="D155" s="146">
        <f t="shared" si="16"/>
        <v>1000</v>
      </c>
      <c r="E155" s="200">
        <f t="shared" si="17"/>
        <v>11.11111111111111</v>
      </c>
    </row>
    <row r="156" spans="1:5" ht="12.75">
      <c r="A156" s="2" t="s">
        <v>83</v>
      </c>
      <c r="B156" s="148">
        <f>'Chief Exec'!C31+Secretariat!C31+'App &amp; Mon'!C44+Registration!C39+'Ops Off'!C35+'IT'!C48+Finance!C42+'Fac Man'!C58+'HR'!C40+Partners!C37+Communications!C45+Policy!C40</f>
        <v>37661</v>
      </c>
      <c r="C156" s="151">
        <f>'Chief Exec'!E31+Secretariat!E31+'App &amp; Mon'!E44+Registration!E39+'Ops Off'!E35+'IT'!E48+Finance!E42+'Fac Man'!E58+'HR'!E40+Partners!E37+Communications!E45+Policy!E40</f>
        <v>37119</v>
      </c>
      <c r="D156" s="146">
        <f t="shared" si="16"/>
        <v>542</v>
      </c>
      <c r="E156" s="200">
        <f t="shared" si="17"/>
        <v>1.4601686467846655</v>
      </c>
    </row>
    <row r="157" spans="1:5" ht="12.75">
      <c r="A157" s="2" t="s">
        <v>165</v>
      </c>
      <c r="B157" s="148">
        <f>Finance!C43</f>
        <v>5000</v>
      </c>
      <c r="C157" s="151">
        <f>Finance!E43</f>
        <v>12223</v>
      </c>
      <c r="D157" s="146">
        <f t="shared" si="16"/>
        <v>-7223</v>
      </c>
      <c r="E157" s="200">
        <f t="shared" si="17"/>
        <v>-59.093512231039846</v>
      </c>
    </row>
    <row r="158" spans="1:7" ht="12.75">
      <c r="A158" s="2" t="s">
        <v>82</v>
      </c>
      <c r="B158" s="148">
        <f>'Chief Exec'!C28+Secretariat!C33+'App &amp; Mon'!C46+Registration!C42+'Ops Off'!C38+'IT'!C46+Finance!C44+'Fac Man'!C57+Fitness!C57+'HR'!C41+Partners!C36+Communications!C44+Policy!C39+'HR'!C42</f>
        <v>196727.75</v>
      </c>
      <c r="C158" s="151">
        <f>'Chief Exec'!E28+Secretariat!E33+'App &amp; Mon'!E46+Registration!E42+'Ops Off'!E38+'IT'!E46+Finance!E44+'Fac Man'!E57+Fitness!E57+'HR'!E41+Partners!E36+Communications!E44+Policy!E39+'HR'!E42+1000</f>
        <v>178948</v>
      </c>
      <c r="D158" s="146">
        <f t="shared" si="16"/>
        <v>17779.75</v>
      </c>
      <c r="E158" s="200">
        <f t="shared" si="17"/>
        <v>9.9357075798556</v>
      </c>
      <c r="G158" s="337"/>
    </row>
    <row r="159" spans="2:7" ht="12.75">
      <c r="B159" s="153">
        <f>SUM(B132:B158)</f>
        <v>3734800.75</v>
      </c>
      <c r="C159" s="123">
        <f>SUM(C132:C158)</f>
        <v>3199971</v>
      </c>
      <c r="D159" s="153">
        <f t="shared" si="16"/>
        <v>534829.75</v>
      </c>
      <c r="E159" s="216">
        <f t="shared" si="17"/>
        <v>16.71358115432921</v>
      </c>
      <c r="G159" s="146"/>
    </row>
    <row r="160" ht="12.75">
      <c r="C160" s="147"/>
    </row>
    <row r="161" spans="1:6" ht="13.5" thickBot="1">
      <c r="A161" s="1" t="s">
        <v>94</v>
      </c>
      <c r="B161" s="217">
        <f>B23+B31+B39+B54+B72+B90+B108+B124+B159+B129+B166</f>
        <v>15547116.426629024</v>
      </c>
      <c r="C161" s="294">
        <f>C23+C31+C39+C54+C72+C90+C108+C124+C129+C159</f>
        <v>13199726.214623824</v>
      </c>
      <c r="D161" s="217">
        <f>B161-C161</f>
        <v>2347390.2120052</v>
      </c>
      <c r="E161" s="218">
        <f>IF(C161=0,0,(D161/C161*100))</f>
        <v>17.783628037713036</v>
      </c>
      <c r="F161" s="217"/>
    </row>
    <row r="162" ht="13.5" thickTop="1"/>
    <row r="163" spans="1:6" ht="12.75">
      <c r="A163" s="2" t="s">
        <v>251</v>
      </c>
      <c r="B163" s="146">
        <f>B161-'DETAILED SUMMARY'!B54</f>
        <v>-0.11739999987185001</v>
      </c>
      <c r="C163" s="127">
        <f>C161-'DETAILED SUMMARY'!C54</f>
        <v>0</v>
      </c>
      <c r="D163" s="146">
        <v>0</v>
      </c>
      <c r="E163" s="146">
        <v>0</v>
      </c>
      <c r="F163" s="146"/>
    </row>
    <row r="166" ht="12.75">
      <c r="B166" s="127">
        <f>SUM(B165:B165)</f>
        <v>0</v>
      </c>
    </row>
  </sheetData>
  <mergeCells count="1">
    <mergeCell ref="B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&amp;C&amp;F</oddHeader>
    <oddFooter>&amp;CPage &amp;P of &amp;N</oddFooter>
  </headerFooter>
  <rowBreaks count="2" manualBreakCount="2">
    <brk id="55" max="4" man="1"/>
    <brk id="109" max="4" man="1"/>
  </rowBreaks>
  <colBreaks count="1" manualBreakCount="1">
    <brk id="5" max="1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J63"/>
  <sheetViews>
    <sheetView workbookViewId="0" topLeftCell="A34">
      <selection activeCell="B16" sqref="B16"/>
    </sheetView>
  </sheetViews>
  <sheetFormatPr defaultColWidth="9.140625" defaultRowHeight="12.75"/>
  <cols>
    <col min="1" max="1" width="43.8515625" style="354" customWidth="1"/>
    <col min="2" max="2" width="12.8515625" style="365" bestFit="1" customWidth="1"/>
    <col min="3" max="3" width="15.421875" style="365" bestFit="1" customWidth="1"/>
    <col min="4" max="4" width="12.00390625" style="365" customWidth="1"/>
    <col min="5" max="5" width="13.8515625" style="374" bestFit="1" customWidth="1"/>
    <col min="6" max="6" width="16.28125" style="374" bestFit="1" customWidth="1"/>
    <col min="7" max="7" width="11.28125" style="354" hidden="1" customWidth="1"/>
    <col min="8" max="8" width="13.57421875" style="354" bestFit="1" customWidth="1"/>
    <col min="9" max="9" width="10.28125" style="354" bestFit="1" customWidth="1"/>
    <col min="10" max="16384" width="9.140625" style="354" customWidth="1"/>
  </cols>
  <sheetData>
    <row r="1" spans="1:6" s="10" customFormat="1" ht="15.75">
      <c r="A1" s="10" t="s">
        <v>34</v>
      </c>
      <c r="B1" s="360"/>
      <c r="C1" s="360"/>
      <c r="D1" s="360"/>
      <c r="E1" s="361"/>
      <c r="F1" s="361"/>
    </row>
    <row r="2" spans="2:6" s="10" customFormat="1" ht="6" customHeight="1">
      <c r="B2" s="360"/>
      <c r="C2" s="360"/>
      <c r="D2" s="360"/>
      <c r="E2" s="361"/>
      <c r="F2" s="361"/>
    </row>
    <row r="3" spans="1:6" s="10" customFormat="1" ht="15.75">
      <c r="A3" s="10" t="s">
        <v>482</v>
      </c>
      <c r="B3" s="360"/>
      <c r="D3" s="360"/>
      <c r="E3" s="361"/>
      <c r="F3" s="361"/>
    </row>
    <row r="4" spans="1:6" s="10" customFormat="1" ht="15.75">
      <c r="A4" s="10" t="s">
        <v>596</v>
      </c>
      <c r="B4" s="360"/>
      <c r="C4" s="360"/>
      <c r="D4" s="360"/>
      <c r="E4" s="419" t="s">
        <v>476</v>
      </c>
      <c r="F4" s="419"/>
    </row>
    <row r="5" spans="2:6" s="363" customFormat="1" ht="18.75" customHeight="1">
      <c r="B5" s="418" t="s">
        <v>597</v>
      </c>
      <c r="C5" s="418"/>
      <c r="D5" s="360"/>
      <c r="E5" s="418" t="s">
        <v>483</v>
      </c>
      <c r="F5" s="418"/>
    </row>
    <row r="6" spans="2:6" s="364" customFormat="1" ht="15.75">
      <c r="B6" s="362" t="s">
        <v>40</v>
      </c>
      <c r="C6" s="362" t="s">
        <v>40</v>
      </c>
      <c r="D6" s="362"/>
      <c r="E6" s="362" t="s">
        <v>40</v>
      </c>
      <c r="F6" s="362" t="s">
        <v>40</v>
      </c>
    </row>
    <row r="7" spans="5:6" ht="15">
      <c r="E7" s="365"/>
      <c r="F7" s="365"/>
    </row>
    <row r="8" spans="1:6" s="10" customFormat="1" ht="15.75">
      <c r="A8" s="10" t="s">
        <v>143</v>
      </c>
      <c r="B8" s="367"/>
      <c r="C8" s="367"/>
      <c r="D8" s="367"/>
      <c r="E8" s="367"/>
      <c r="F8" s="367"/>
    </row>
    <row r="9" spans="2:6" ht="15">
      <c r="B9" s="368"/>
      <c r="C9" s="368"/>
      <c r="D9" s="368"/>
      <c r="E9" s="368"/>
      <c r="F9" s="368"/>
    </row>
    <row r="10" spans="1:6" ht="15.75">
      <c r="A10" s="10" t="s">
        <v>189</v>
      </c>
      <c r="B10" s="368"/>
      <c r="C10" s="368"/>
      <c r="D10" s="368"/>
      <c r="E10" s="368"/>
      <c r="F10" s="368"/>
    </row>
    <row r="11" spans="2:6" ht="15">
      <c r="B11" s="368"/>
      <c r="C11" s="368"/>
      <c r="D11" s="368"/>
      <c r="E11" s="368"/>
      <c r="F11" s="368"/>
    </row>
    <row r="12" spans="1:10" ht="15">
      <c r="A12" s="354" t="s">
        <v>144</v>
      </c>
      <c r="B12" s="368">
        <f>E12+'F&amp;F Additions'!D7</f>
        <v>4063000</v>
      </c>
      <c r="C12" s="368"/>
      <c r="D12" s="368"/>
      <c r="E12" s="368">
        <f>3090000+398000</f>
        <v>3488000</v>
      </c>
      <c r="F12" s="368"/>
      <c r="I12" s="368"/>
      <c r="J12" s="368"/>
    </row>
    <row r="13" spans="1:10" ht="15.75">
      <c r="A13" s="354" t="s">
        <v>145</v>
      </c>
      <c r="B13" s="369">
        <f>E13-'OVERHEAD TOTAL '!B53</f>
        <v>-94904</v>
      </c>
      <c r="C13" s="368"/>
      <c r="D13" s="368"/>
      <c r="E13" s="369">
        <f>-'OVERHEAD TOTAL '!C53</f>
        <v>-52704</v>
      </c>
      <c r="F13" s="368"/>
      <c r="G13" s="367">
        <v>24500</v>
      </c>
      <c r="I13" s="368"/>
      <c r="J13" s="368"/>
    </row>
    <row r="14" spans="1:9" ht="15">
      <c r="A14" s="354" t="s">
        <v>146</v>
      </c>
      <c r="B14" s="368"/>
      <c r="C14" s="368">
        <f>SUM(B12:B13)</f>
        <v>3968096</v>
      </c>
      <c r="D14" s="368"/>
      <c r="E14" s="368"/>
      <c r="F14" s="368">
        <f>SUM(E12:E13)</f>
        <v>3435296</v>
      </c>
      <c r="I14" s="368"/>
    </row>
    <row r="15" spans="2:9" ht="15">
      <c r="B15" s="368"/>
      <c r="C15" s="368"/>
      <c r="D15" s="368"/>
      <c r="E15" s="368"/>
      <c r="F15" s="368"/>
      <c r="I15" s="368"/>
    </row>
    <row r="16" spans="1:9" ht="15">
      <c r="A16" s="354" t="s">
        <v>147</v>
      </c>
      <c r="B16" s="368">
        <f>E16+'Computer Additions'!C29</f>
        <v>3703358.33</v>
      </c>
      <c r="C16" s="368"/>
      <c r="D16" s="368"/>
      <c r="E16" s="368">
        <f>2582693.33+262134+51000</f>
        <v>2895827.33</v>
      </c>
      <c r="F16" s="368"/>
      <c r="H16" s="368"/>
      <c r="I16" s="368"/>
    </row>
    <row r="17" spans="1:10" ht="15.75">
      <c r="A17" s="354" t="s">
        <v>145</v>
      </c>
      <c r="B17" s="369">
        <f>E17+-'OVERHEAD TOTAL '!B89+-'OVERHEAD TOTAL '!B88</f>
        <v>-560283.8825999999</v>
      </c>
      <c r="C17" s="368"/>
      <c r="D17" s="368"/>
      <c r="E17" s="369">
        <f>-'OVERHEAD TOTAL '!C89</f>
        <v>-176058</v>
      </c>
      <c r="F17" s="368"/>
      <c r="G17" s="367">
        <f>E17-B17</f>
        <v>384225.8825999999</v>
      </c>
      <c r="I17" s="368"/>
      <c r="J17" s="368"/>
    </row>
    <row r="18" spans="1:9" ht="15">
      <c r="A18" s="354" t="s">
        <v>146</v>
      </c>
      <c r="B18" s="368"/>
      <c r="C18" s="368">
        <f>SUM(B16:B17)</f>
        <v>3143074.4474</v>
      </c>
      <c r="D18" s="368"/>
      <c r="E18" s="368"/>
      <c r="F18" s="368">
        <f>SUM(E16:E17)</f>
        <v>2719769.33</v>
      </c>
      <c r="I18" s="368"/>
    </row>
    <row r="19" spans="2:9" ht="15">
      <c r="B19" s="368"/>
      <c r="C19" s="368"/>
      <c r="D19" s="368"/>
      <c r="E19" s="368"/>
      <c r="F19" s="368"/>
      <c r="I19" s="368"/>
    </row>
    <row r="20" spans="1:9" ht="15">
      <c r="A20" s="354" t="s">
        <v>148</v>
      </c>
      <c r="B20" s="368">
        <f>E20+'F&amp;F Additions'!D10+'F&amp;F Additions'!D14+'F&amp;F Additions'!D16+'F&amp;F Additions'!D18+'F&amp;F Additions'!D20</f>
        <v>451747</v>
      </c>
      <c r="C20" s="368"/>
      <c r="D20" s="368"/>
      <c r="E20" s="368">
        <f>387804+18543</f>
        <v>406347</v>
      </c>
      <c r="F20" s="368"/>
      <c r="I20" s="368"/>
    </row>
    <row r="21" spans="1:10" ht="15.75">
      <c r="A21" s="354" t="s">
        <v>145</v>
      </c>
      <c r="B21" s="369">
        <f>E21+-'OVERHEAD TOTAL '!B70</f>
        <v>-54418</v>
      </c>
      <c r="C21" s="368"/>
      <c r="D21" s="368"/>
      <c r="E21" s="369">
        <f>-'OVERHEAD TOTAL '!C70</f>
        <v>-28040</v>
      </c>
      <c r="F21" s="368"/>
      <c r="G21" s="367">
        <f>E21-B21</f>
        <v>26378</v>
      </c>
      <c r="I21" s="368"/>
      <c r="J21" s="368"/>
    </row>
    <row r="22" spans="1:9" ht="15.75">
      <c r="A22" s="354" t="s">
        <v>146</v>
      </c>
      <c r="B22" s="368"/>
      <c r="C22" s="368">
        <f>SUM(B20:B21)</f>
        <v>397329</v>
      </c>
      <c r="D22" s="368"/>
      <c r="E22" s="368"/>
      <c r="F22" s="368">
        <f>SUM(E20:E21)</f>
        <v>378307</v>
      </c>
      <c r="G22" s="367"/>
      <c r="I22" s="368"/>
    </row>
    <row r="23" spans="2:9" ht="15">
      <c r="B23" s="368"/>
      <c r="C23" s="369"/>
      <c r="D23" s="368"/>
      <c r="E23" s="368"/>
      <c r="F23" s="369"/>
      <c r="I23" s="368"/>
    </row>
    <row r="24" spans="2:9" ht="15">
      <c r="B24" s="368"/>
      <c r="C24" s="368"/>
      <c r="D24" s="368"/>
      <c r="E24" s="368"/>
      <c r="F24" s="368"/>
      <c r="G24" s="368">
        <f>SUM(G13:G23)</f>
        <v>435103.8825999999</v>
      </c>
      <c r="I24" s="368"/>
    </row>
    <row r="25" spans="1:9" s="10" customFormat="1" ht="15.75">
      <c r="A25" s="10" t="s">
        <v>190</v>
      </c>
      <c r="B25" s="367"/>
      <c r="C25" s="367">
        <f>C14+C18+C22</f>
        <v>7508499.4474</v>
      </c>
      <c r="D25" s="367"/>
      <c r="E25" s="367"/>
      <c r="F25" s="367">
        <f>SUM(F14:F22)</f>
        <v>6533372.33</v>
      </c>
      <c r="G25" s="367"/>
      <c r="I25" s="368"/>
    </row>
    <row r="26" spans="2:6" ht="15">
      <c r="B26" s="368"/>
      <c r="C26" s="368"/>
      <c r="D26" s="368"/>
      <c r="E26" s="368"/>
      <c r="F26" s="368"/>
    </row>
    <row r="27" spans="1:9" s="10" customFormat="1" ht="15.75">
      <c r="A27" s="10" t="s">
        <v>191</v>
      </c>
      <c r="B27" s="367"/>
      <c r="C27" s="367">
        <v>1329000</v>
      </c>
      <c r="D27" s="367"/>
      <c r="E27" s="367"/>
      <c r="F27" s="367">
        <v>1329000</v>
      </c>
      <c r="I27" s="367"/>
    </row>
    <row r="28" spans="2:6" ht="15">
      <c r="B28" s="368"/>
      <c r="C28" s="369"/>
      <c r="D28" s="368"/>
      <c r="E28" s="368"/>
      <c r="F28" s="369"/>
    </row>
    <row r="29" spans="1:6" ht="15.75">
      <c r="A29" s="10" t="s">
        <v>415</v>
      </c>
      <c r="B29" s="368"/>
      <c r="C29" s="367">
        <f>C25+C27</f>
        <v>8837499.4474</v>
      </c>
      <c r="D29" s="368"/>
      <c r="E29" s="368"/>
      <c r="F29" s="367">
        <f>SUM(F25:F28)</f>
        <v>7862372.33</v>
      </c>
    </row>
    <row r="30" spans="2:6" ht="15">
      <c r="B30" s="368"/>
      <c r="C30" s="368"/>
      <c r="D30" s="368"/>
      <c r="E30" s="368"/>
      <c r="F30" s="368"/>
    </row>
    <row r="31" spans="1:6" ht="15.75">
      <c r="A31" s="10" t="s">
        <v>149</v>
      </c>
      <c r="B31" s="368"/>
      <c r="C31" s="368"/>
      <c r="D31" s="368"/>
      <c r="E31" s="368"/>
      <c r="F31" s="368"/>
    </row>
    <row r="32" spans="2:6" ht="15">
      <c r="B32" s="368"/>
      <c r="C32" s="368"/>
      <c r="D32" s="368"/>
      <c r="E32" s="368"/>
      <c r="F32" s="368"/>
    </row>
    <row r="33" spans="1:9" ht="15">
      <c r="A33" s="354" t="s">
        <v>228</v>
      </c>
      <c r="B33" s="368">
        <v>62000</v>
      </c>
      <c r="C33" s="368"/>
      <c r="D33" s="368"/>
      <c r="E33" s="368">
        <v>62000</v>
      </c>
      <c r="F33" s="368"/>
      <c r="I33" s="368"/>
    </row>
    <row r="34" spans="1:9" ht="15">
      <c r="A34" s="354" t="s">
        <v>229</v>
      </c>
      <c r="B34" s="368">
        <v>120000</v>
      </c>
      <c r="C34" s="368"/>
      <c r="D34" s="368"/>
      <c r="E34" s="368">
        <v>120000</v>
      </c>
      <c r="F34" s="368"/>
      <c r="I34" s="368"/>
    </row>
    <row r="35" spans="1:9" ht="15">
      <c r="A35" s="354" t="s">
        <v>150</v>
      </c>
      <c r="B35" s="369">
        <v>5051505.330145876</v>
      </c>
      <c r="C35" s="368"/>
      <c r="D35" s="368"/>
      <c r="E35" s="369">
        <f>5100000</f>
        <v>5100000</v>
      </c>
      <c r="F35" s="368"/>
      <c r="I35" s="368"/>
    </row>
    <row r="36" spans="2:6" ht="15">
      <c r="B36" s="370">
        <f>SUM(B33:B35)</f>
        <v>5233505.330145876</v>
      </c>
      <c r="C36" s="368"/>
      <c r="D36" s="368"/>
      <c r="E36" s="370">
        <f>SUM(E33:E35)</f>
        <v>5282000</v>
      </c>
      <c r="F36" s="368"/>
    </row>
    <row r="37" spans="2:6" ht="15">
      <c r="B37" s="368"/>
      <c r="C37" s="368"/>
      <c r="D37" s="368"/>
      <c r="E37" s="368"/>
      <c r="F37" s="368"/>
    </row>
    <row r="38" spans="1:6" ht="15.75">
      <c r="A38" s="10" t="s">
        <v>151</v>
      </c>
      <c r="B38" s="368"/>
      <c r="C38" s="368"/>
      <c r="D38" s="368"/>
      <c r="E38" s="368"/>
      <c r="F38" s="368"/>
    </row>
    <row r="39" spans="1:6" ht="15.75">
      <c r="A39" s="10" t="s">
        <v>152</v>
      </c>
      <c r="B39" s="368"/>
      <c r="C39" s="368"/>
      <c r="D39" s="368"/>
      <c r="E39" s="368"/>
      <c r="F39" s="368"/>
    </row>
    <row r="40" spans="2:6" ht="15">
      <c r="B40" s="368"/>
      <c r="C40" s="368"/>
      <c r="D40" s="368"/>
      <c r="E40" s="368"/>
      <c r="F40" s="368"/>
    </row>
    <row r="41" spans="1:9" ht="15">
      <c r="A41" s="354" t="s">
        <v>155</v>
      </c>
      <c r="B41" s="401">
        <f>-'DETAILED SUMMARY'!B54*0.17516</f>
        <v>-2723232.933852124</v>
      </c>
      <c r="C41" s="368"/>
      <c r="D41" s="368"/>
      <c r="E41" s="400">
        <f>-'DETAILED SUMMARY'!C54*0.1756</f>
        <v>-2317871.923287943</v>
      </c>
      <c r="F41" s="368"/>
      <c r="H41" s="368"/>
      <c r="I41" s="368"/>
    </row>
    <row r="42" spans="2:6" ht="15">
      <c r="B42" s="368"/>
      <c r="C42" s="368"/>
      <c r="D42" s="368"/>
      <c r="E42" s="366"/>
      <c r="F42" s="368"/>
    </row>
    <row r="43" spans="1:6" ht="15.75">
      <c r="A43" s="10" t="s">
        <v>166</v>
      </c>
      <c r="B43" s="368"/>
      <c r="C43" s="371">
        <f>B36+B41</f>
        <v>2510272.396293752</v>
      </c>
      <c r="D43" s="368"/>
      <c r="E43" s="366"/>
      <c r="F43" s="371">
        <f>E36+E41</f>
        <v>2964128.076712057</v>
      </c>
    </row>
    <row r="44" spans="2:6" ht="15">
      <c r="B44" s="368"/>
      <c r="C44" s="368"/>
      <c r="D44" s="368"/>
      <c r="E44" s="366"/>
      <c r="F44" s="368"/>
    </row>
    <row r="45" spans="1:6" ht="15.75">
      <c r="A45" s="10" t="s">
        <v>192</v>
      </c>
      <c r="B45" s="368"/>
      <c r="C45" s="368"/>
      <c r="D45" s="368"/>
      <c r="E45" s="366"/>
      <c r="F45" s="368"/>
    </row>
    <row r="46" spans="2:6" ht="15">
      <c r="B46" s="368"/>
      <c r="C46" s="368"/>
      <c r="D46" s="368"/>
      <c r="E46" s="366"/>
      <c r="F46" s="368"/>
    </row>
    <row r="47" spans="1:9" ht="15">
      <c r="A47" s="354" t="s">
        <v>153</v>
      </c>
      <c r="B47" s="366">
        <v>-238875</v>
      </c>
      <c r="C47" s="368"/>
      <c r="D47" s="368"/>
      <c r="E47" s="366">
        <v>-215542</v>
      </c>
      <c r="F47" s="368"/>
      <c r="I47" s="365"/>
    </row>
    <row r="48" spans="1:9" ht="15">
      <c r="A48" s="354" t="s">
        <v>154</v>
      </c>
      <c r="B48" s="353">
        <v>-8519952</v>
      </c>
      <c r="C48" s="368"/>
      <c r="D48" s="368"/>
      <c r="E48" s="353">
        <v>-8209707</v>
      </c>
      <c r="F48" s="368"/>
      <c r="I48" s="365"/>
    </row>
    <row r="49" spans="2:9" ht="15.75">
      <c r="B49" s="370"/>
      <c r="C49" s="367">
        <f>B47+B48</f>
        <v>-8758827</v>
      </c>
      <c r="D49" s="368"/>
      <c r="E49" s="370"/>
      <c r="F49" s="367">
        <f>SUM(E47:E48)</f>
        <v>-8425249</v>
      </c>
      <c r="I49" s="365"/>
    </row>
    <row r="50" spans="2:6" ht="15">
      <c r="B50" s="370"/>
      <c r="C50" s="368"/>
      <c r="D50" s="368"/>
      <c r="E50" s="370"/>
      <c r="F50" s="368"/>
    </row>
    <row r="51" spans="1:8" s="10" customFormat="1" ht="16.5" thickBot="1">
      <c r="A51" s="10" t="s">
        <v>193</v>
      </c>
      <c r="B51" s="367"/>
      <c r="C51" s="372">
        <f>C29+C43+C49</f>
        <v>2588944.843693752</v>
      </c>
      <c r="D51" s="367"/>
      <c r="E51" s="367"/>
      <c r="F51" s="372">
        <f>SUM(F29:F50)</f>
        <v>2401251.406712057</v>
      </c>
      <c r="H51" s="367">
        <f>F51-F60</f>
        <v>0.058711180463433266</v>
      </c>
    </row>
    <row r="52" spans="2:6" ht="15.75" thickTop="1">
      <c r="B52" s="368"/>
      <c r="C52" s="368"/>
      <c r="D52" s="368"/>
      <c r="E52" s="368"/>
      <c r="F52" s="368"/>
    </row>
    <row r="53" spans="2:8" s="373" customFormat="1" ht="15.75">
      <c r="B53" s="367"/>
      <c r="C53" s="371"/>
      <c r="D53" s="367"/>
      <c r="E53" s="367"/>
      <c r="F53" s="371"/>
      <c r="H53" s="373">
        <f>C51-C60</f>
        <v>0.3094178978353739</v>
      </c>
    </row>
    <row r="54" spans="2:6" ht="15">
      <c r="B54" s="368"/>
      <c r="C54" s="368"/>
      <c r="D54" s="368"/>
      <c r="E54" s="368"/>
      <c r="F54" s="368"/>
    </row>
    <row r="55" spans="1:6" ht="15.75">
      <c r="A55" s="10" t="s">
        <v>156</v>
      </c>
      <c r="B55" s="368"/>
      <c r="C55" s="368"/>
      <c r="D55" s="368"/>
      <c r="E55" s="368"/>
      <c r="F55" s="368"/>
    </row>
    <row r="56" spans="1:6" ht="15.75">
      <c r="A56" s="10"/>
      <c r="B56" s="368"/>
      <c r="C56" s="368"/>
      <c r="D56" s="368"/>
      <c r="E56" s="368"/>
      <c r="F56" s="368"/>
    </row>
    <row r="57" spans="1:6" ht="15">
      <c r="A57" s="354" t="s">
        <v>256</v>
      </c>
      <c r="B57" s="368"/>
      <c r="C57" s="368">
        <f>F57+F59</f>
        <v>1749062.3480008766</v>
      </c>
      <c r="D57" s="368"/>
      <c r="E57" s="368"/>
      <c r="F57" s="368">
        <v>1077308</v>
      </c>
    </row>
    <row r="58" spans="1:6" ht="15">
      <c r="A58" s="354" t="s">
        <v>255</v>
      </c>
      <c r="B58" s="368"/>
      <c r="C58" s="368">
        <f>652189</f>
        <v>652189</v>
      </c>
      <c r="D58" s="368"/>
      <c r="E58" s="368"/>
      <c r="F58" s="368">
        <v>652189</v>
      </c>
    </row>
    <row r="59" spans="1:6" ht="15">
      <c r="A59" s="354" t="s">
        <v>33</v>
      </c>
      <c r="B59" s="368"/>
      <c r="C59" s="368">
        <f>'DETAILED SUMMARY'!B64:B64</f>
        <v>187694.1862749774</v>
      </c>
      <c r="D59" s="368"/>
      <c r="E59" s="368"/>
      <c r="F59" s="368">
        <f>'DETAILED SUMMARY'!C64</f>
        <v>671754.3480008766</v>
      </c>
    </row>
    <row r="60" spans="2:8" s="10" customFormat="1" ht="16.5" thickBot="1">
      <c r="B60" s="367"/>
      <c r="C60" s="372">
        <f>SUM(C57:C59)-1</f>
        <v>2588944.534275854</v>
      </c>
      <c r="D60" s="367"/>
      <c r="E60" s="367"/>
      <c r="F60" s="372">
        <f>SUM(F57:F59)</f>
        <v>2401251.3480008766</v>
      </c>
      <c r="H60" s="367"/>
    </row>
    <row r="61" ht="15.75" thickTop="1"/>
    <row r="62" spans="1:2" ht="15.75">
      <c r="A62" s="375"/>
      <c r="B62" s="360"/>
    </row>
    <row r="63" ht="15.75">
      <c r="B63" s="360"/>
    </row>
  </sheetData>
  <mergeCells count="3">
    <mergeCell ref="E5:F5"/>
    <mergeCell ref="B5:C5"/>
    <mergeCell ref="E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Baker</dc:creator>
  <cp:keywords/>
  <dc:description/>
  <cp:lastModifiedBy>Steve Rayner</cp:lastModifiedBy>
  <cp:lastPrinted>2009-03-16T17:03:52Z</cp:lastPrinted>
  <dcterms:created xsi:type="dcterms:W3CDTF">2001-12-30T11:53:33Z</dcterms:created>
  <dcterms:modified xsi:type="dcterms:W3CDTF">2009-03-16T17:04:21Z</dcterms:modified>
  <cp:category/>
  <cp:version/>
  <cp:contentType/>
  <cp:contentStatus/>
</cp:coreProperties>
</file>